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Descarga de Nominas\Nueva carpeta\"/>
    </mc:Choice>
  </mc:AlternateContent>
  <bookViews>
    <workbookView xWindow="0" yWindow="0" windowWidth="20490" windowHeight="7650"/>
  </bookViews>
  <sheets>
    <sheet name="2da Diciembre " sheetId="2" r:id="rId1"/>
  </sheets>
  <calcPr calcId="162913"/>
  <extLst>
    <ext uri="GoogleSheetsCustomDataVersion1">
      <go:sheetsCustomData xmlns:go="http://customooxmlschemas.google.com/" r:id="rId7" roundtripDataSignature="AMtx7mh4myI1JLRC95WCU1q3dZa5C1/+Kw=="/>
    </ext>
  </extLst>
</workbook>
</file>

<file path=xl/calcChain.xml><?xml version="1.0" encoding="utf-8"?>
<calcChain xmlns="http://schemas.openxmlformats.org/spreadsheetml/2006/main">
  <c r="F68" i="2" l="1"/>
  <c r="F70" i="2" s="1"/>
  <c r="E68" i="2"/>
  <c r="E69" i="2" s="1"/>
  <c r="F69" i="2" s="1"/>
  <c r="M66" i="2"/>
  <c r="K66" i="2"/>
  <c r="I66" i="2"/>
  <c r="AA62" i="2"/>
  <c r="Z62" i="2"/>
  <c r="W62" i="2"/>
  <c r="V62" i="2"/>
  <c r="U62" i="2"/>
  <c r="U66" i="2" s="1"/>
  <c r="T62" i="2"/>
  <c r="S62" i="2"/>
  <c r="R62" i="2"/>
  <c r="O62" i="2"/>
  <c r="N62" i="2"/>
  <c r="H62" i="2"/>
  <c r="G62" i="2"/>
  <c r="E62" i="2"/>
  <c r="AB61" i="2"/>
  <c r="AA61" i="2"/>
  <c r="W61" i="2"/>
  <c r="X61" i="2" s="1"/>
  <c r="P61" i="2"/>
  <c r="Q61" i="2" s="1"/>
  <c r="Y61" i="2" s="1"/>
  <c r="AB60" i="2"/>
  <c r="AA60" i="2"/>
  <c r="AC60" i="2" s="1"/>
  <c r="W60" i="2"/>
  <c r="X60" i="2" s="1"/>
  <c r="P60" i="2"/>
  <c r="Q60" i="2" s="1"/>
  <c r="Y60" i="2" s="1"/>
  <c r="AB59" i="2"/>
  <c r="AA59" i="2"/>
  <c r="W59" i="2"/>
  <c r="X59" i="2" s="1"/>
  <c r="P59" i="2"/>
  <c r="Q59" i="2" s="1"/>
  <c r="Y59" i="2" s="1"/>
  <c r="AB58" i="2"/>
  <c r="AA58" i="2"/>
  <c r="AC58" i="2" s="1"/>
  <c r="W58" i="2"/>
  <c r="X58" i="2" s="1"/>
  <c r="P58" i="2"/>
  <c r="Q58" i="2" s="1"/>
  <c r="AB57" i="2"/>
  <c r="AA57" i="2"/>
  <c r="W57" i="2"/>
  <c r="X57" i="2" s="1"/>
  <c r="P57" i="2"/>
  <c r="Q57" i="2" s="1"/>
  <c r="Y57" i="2" s="1"/>
  <c r="AB56" i="2"/>
  <c r="AA56" i="2"/>
  <c r="AC56" i="2" s="1"/>
  <c r="W56" i="2"/>
  <c r="X56" i="2" s="1"/>
  <c r="P56" i="2"/>
  <c r="Z53" i="2"/>
  <c r="V53" i="2"/>
  <c r="U53" i="2"/>
  <c r="T53" i="2"/>
  <c r="S53" i="2"/>
  <c r="R53" i="2"/>
  <c r="O53" i="2"/>
  <c r="N53" i="2"/>
  <c r="M53" i="2"/>
  <c r="L53" i="2"/>
  <c r="L66" i="2" s="1"/>
  <c r="K53" i="2"/>
  <c r="J53" i="2"/>
  <c r="J66" i="2" s="1"/>
  <c r="I53" i="2"/>
  <c r="H53" i="2"/>
  <c r="G53" i="2"/>
  <c r="E53" i="2"/>
  <c r="AB52" i="2"/>
  <c r="AA52" i="2"/>
  <c r="AC52" i="2" s="1"/>
  <c r="W52" i="2"/>
  <c r="X52" i="2" s="1"/>
  <c r="P52" i="2"/>
  <c r="Q52" i="2" s="1"/>
  <c r="AB51" i="2"/>
  <c r="AA51" i="2"/>
  <c r="Y51" i="2"/>
  <c r="W51" i="2"/>
  <c r="X51" i="2" s="1"/>
  <c r="Q51" i="2"/>
  <c r="AB50" i="2"/>
  <c r="AA50" i="2"/>
  <c r="AC50" i="2" s="1"/>
  <c r="X50" i="2"/>
  <c r="W50" i="2"/>
  <c r="Q50" i="2"/>
  <c r="Y50" i="2" s="1"/>
  <c r="P50" i="2"/>
  <c r="AB49" i="2"/>
  <c r="AA49" i="2"/>
  <c r="AC49" i="2" s="1"/>
  <c r="W49" i="2"/>
  <c r="X49" i="2" s="1"/>
  <c r="P49" i="2"/>
  <c r="Q49" i="2" s="1"/>
  <c r="AB48" i="2"/>
  <c r="AA48" i="2"/>
  <c r="W48" i="2"/>
  <c r="X48" i="2" s="1"/>
  <c r="P48" i="2"/>
  <c r="Q48" i="2" s="1"/>
  <c r="Y48" i="2" s="1"/>
  <c r="AB47" i="2"/>
  <c r="AA47" i="2"/>
  <c r="AC47" i="2" s="1"/>
  <c r="W47" i="2"/>
  <c r="X47" i="2" s="1"/>
  <c r="P47" i="2"/>
  <c r="Q47" i="2" s="1"/>
  <c r="AB46" i="2"/>
  <c r="AA46" i="2"/>
  <c r="W46" i="2"/>
  <c r="X46" i="2" s="1"/>
  <c r="P46" i="2"/>
  <c r="AB45" i="2"/>
  <c r="AA45" i="2"/>
  <c r="AC45" i="2" s="1"/>
  <c r="W45" i="2"/>
  <c r="X45" i="2" s="1"/>
  <c r="Y45" i="2" s="1"/>
  <c r="Q45" i="2"/>
  <c r="AB44" i="2"/>
  <c r="AA44" i="2"/>
  <c r="AC44" i="2" s="1"/>
  <c r="X44" i="2"/>
  <c r="W44" i="2"/>
  <c r="Q44" i="2"/>
  <c r="Y44" i="2" s="1"/>
  <c r="P44" i="2"/>
  <c r="AB43" i="2"/>
  <c r="AA43" i="2"/>
  <c r="AC43" i="2" s="1"/>
  <c r="X43" i="2"/>
  <c r="W43" i="2"/>
  <c r="Q43" i="2"/>
  <c r="Y43" i="2" s="1"/>
  <c r="P43" i="2"/>
  <c r="AB42" i="2"/>
  <c r="AA42" i="2"/>
  <c r="AC42" i="2" s="1"/>
  <c r="X42" i="2"/>
  <c r="W42" i="2"/>
  <c r="Q42" i="2"/>
  <c r="Y42" i="2" s="1"/>
  <c r="AB41" i="2"/>
  <c r="AB53" i="2" s="1"/>
  <c r="AA41" i="2"/>
  <c r="Y41" i="2"/>
  <c r="W41" i="2"/>
  <c r="X41" i="2" s="1"/>
  <c r="Q41" i="2"/>
  <c r="AB40" i="2"/>
  <c r="AA40" i="2"/>
  <c r="AC40" i="2" s="1"/>
  <c r="X40" i="2"/>
  <c r="W40" i="2"/>
  <c r="Q40" i="2"/>
  <c r="Y40" i="2" s="1"/>
  <c r="P40" i="2"/>
  <c r="AB39" i="2"/>
  <c r="AA39" i="2"/>
  <c r="AC39" i="2" s="1"/>
  <c r="X39" i="2"/>
  <c r="W39" i="2"/>
  <c r="Q39" i="2"/>
  <c r="Y39" i="2" s="1"/>
  <c r="P39" i="2"/>
  <c r="AB38" i="2"/>
  <c r="AA38" i="2"/>
  <c r="AC38" i="2" s="1"/>
  <c r="X38" i="2"/>
  <c r="W38" i="2"/>
  <c r="Q38" i="2"/>
  <c r="Y38" i="2" s="1"/>
  <c r="P38" i="2"/>
  <c r="AB37" i="2"/>
  <c r="AA37" i="2"/>
  <c r="AC37" i="2" s="1"/>
  <c r="X37" i="2"/>
  <c r="W37" i="2"/>
  <c r="Q37" i="2"/>
  <c r="Y37" i="2" s="1"/>
  <c r="P37" i="2"/>
  <c r="AB36" i="2"/>
  <c r="AA36" i="2"/>
  <c r="X36" i="2"/>
  <c r="W36" i="2"/>
  <c r="Q36" i="2"/>
  <c r="P36" i="2"/>
  <c r="Z32" i="2"/>
  <c r="W32" i="2"/>
  <c r="V32" i="2"/>
  <c r="U32" i="2"/>
  <c r="T32" i="2"/>
  <c r="S32" i="2"/>
  <c r="R32" i="2"/>
  <c r="O32" i="2"/>
  <c r="N32" i="2"/>
  <c r="G32" i="2"/>
  <c r="E32" i="2"/>
  <c r="AB31" i="2"/>
  <c r="AA31" i="2"/>
  <c r="AC31" i="2" s="1"/>
  <c r="X31" i="2"/>
  <c r="W31" i="2"/>
  <c r="Q31" i="2"/>
  <c r="Y31" i="2" s="1"/>
  <c r="P31" i="2"/>
  <c r="AB30" i="2"/>
  <c r="AA30" i="2"/>
  <c r="AC30" i="2" s="1"/>
  <c r="X30" i="2"/>
  <c r="W30" i="2"/>
  <c r="Q30" i="2"/>
  <c r="Y30" i="2" s="1"/>
  <c r="P30" i="2"/>
  <c r="AB29" i="2"/>
  <c r="AA29" i="2"/>
  <c r="AC29" i="2" s="1"/>
  <c r="X29" i="2"/>
  <c r="W29" i="2"/>
  <c r="Q29" i="2"/>
  <c r="Y29" i="2" s="1"/>
  <c r="P29" i="2"/>
  <c r="AB28" i="2"/>
  <c r="AB32" i="2" s="1"/>
  <c r="AA28" i="2"/>
  <c r="X28" i="2"/>
  <c r="W28" i="2"/>
  <c r="Q28" i="2"/>
  <c r="Y28" i="2" s="1"/>
  <c r="Y32" i="2" s="1"/>
  <c r="P28" i="2"/>
  <c r="P32" i="2" s="1"/>
  <c r="Z25" i="2"/>
  <c r="V25" i="2"/>
  <c r="U25" i="2"/>
  <c r="T25" i="2"/>
  <c r="S25" i="2"/>
  <c r="R25" i="2"/>
  <c r="O25" i="2"/>
  <c r="N25" i="2"/>
  <c r="H25" i="2"/>
  <c r="H66" i="2" s="1"/>
  <c r="G25" i="2"/>
  <c r="E25" i="2"/>
  <c r="AB24" i="2"/>
  <c r="AA24" i="2"/>
  <c r="AC24" i="2" s="1"/>
  <c r="W24" i="2"/>
  <c r="X24" i="2" s="1"/>
  <c r="P24" i="2"/>
  <c r="Q24" i="2" s="1"/>
  <c r="Y24" i="2" s="1"/>
  <c r="AB23" i="2"/>
  <c r="AA23" i="2"/>
  <c r="W23" i="2"/>
  <c r="X23" i="2" s="1"/>
  <c r="P23" i="2"/>
  <c r="Q23" i="2" s="1"/>
  <c r="Y23" i="2" s="1"/>
  <c r="AB22" i="2"/>
  <c r="AA22" i="2"/>
  <c r="AC22" i="2" s="1"/>
  <c r="W22" i="2"/>
  <c r="X22" i="2" s="1"/>
  <c r="P22" i="2"/>
  <c r="Q22" i="2" s="1"/>
  <c r="AB21" i="2"/>
  <c r="AA21" i="2"/>
  <c r="W21" i="2"/>
  <c r="X21" i="2" s="1"/>
  <c r="P21" i="2"/>
  <c r="Q21" i="2" s="1"/>
  <c r="Y21" i="2" s="1"/>
  <c r="AB20" i="2"/>
  <c r="AA20" i="2"/>
  <c r="AC20" i="2" s="1"/>
  <c r="W20" i="2"/>
  <c r="X20" i="2" s="1"/>
  <c r="P20" i="2"/>
  <c r="Q20" i="2" s="1"/>
  <c r="Y20" i="2" s="1"/>
  <c r="AB19" i="2"/>
  <c r="AA19" i="2"/>
  <c r="W19" i="2"/>
  <c r="X19" i="2" s="1"/>
  <c r="P19" i="2"/>
  <c r="Q19" i="2" s="1"/>
  <c r="Y19" i="2" s="1"/>
  <c r="AB18" i="2"/>
  <c r="AA18" i="2"/>
  <c r="AC18" i="2" s="1"/>
  <c r="W18" i="2"/>
  <c r="X18" i="2" s="1"/>
  <c r="P18" i="2"/>
  <c r="Q18" i="2" s="1"/>
  <c r="AB17" i="2"/>
  <c r="AA17" i="2"/>
  <c r="W17" i="2"/>
  <c r="X17" i="2" s="1"/>
  <c r="P17" i="2"/>
  <c r="Q17" i="2" s="1"/>
  <c r="Y17" i="2" s="1"/>
  <c r="AC16" i="2"/>
  <c r="X16" i="2"/>
  <c r="Q16" i="2"/>
  <c r="Y16" i="2" s="1"/>
  <c r="P16" i="2"/>
  <c r="AB15" i="2"/>
  <c r="AA15" i="2"/>
  <c r="AA25" i="2" s="1"/>
  <c r="X15" i="2"/>
  <c r="W15" i="2"/>
  <c r="Q15" i="2"/>
  <c r="Y15" i="2" s="1"/>
  <c r="P15" i="2"/>
  <c r="AB13" i="2"/>
  <c r="AA13" i="2"/>
  <c r="AC13" i="2" s="1"/>
  <c r="X13" i="2"/>
  <c r="W13" i="2"/>
  <c r="Q13" i="2"/>
  <c r="Y13" i="2" s="1"/>
  <c r="P13" i="2"/>
  <c r="AB12" i="2"/>
  <c r="AA12" i="2"/>
  <c r="AC12" i="2" s="1"/>
  <c r="X12" i="2"/>
  <c r="W12" i="2"/>
  <c r="Q12" i="2"/>
  <c r="Y12" i="2" s="1"/>
  <c r="P12" i="2"/>
  <c r="AA9" i="2"/>
  <c r="Z9" i="2"/>
  <c r="Z66" i="2" s="1"/>
  <c r="V9" i="2"/>
  <c r="V66" i="2" s="1"/>
  <c r="T9" i="2"/>
  <c r="T66" i="2" s="1"/>
  <c r="S9" i="2"/>
  <c r="R9" i="2"/>
  <c r="R66" i="2" s="1"/>
  <c r="O9" i="2"/>
  <c r="N9" i="2"/>
  <c r="N66" i="2" s="1"/>
  <c r="G9" i="2"/>
  <c r="G66" i="2" s="1"/>
  <c r="E9" i="2"/>
  <c r="AB8" i="2"/>
  <c r="AA8" i="2"/>
  <c r="AC8" i="2" s="1"/>
  <c r="W8" i="2"/>
  <c r="X8" i="2" s="1"/>
  <c r="P8" i="2"/>
  <c r="Q8" i="2" s="1"/>
  <c r="AB7" i="2"/>
  <c r="AB9" i="2" s="1"/>
  <c r="AA7" i="2"/>
  <c r="W7" i="2"/>
  <c r="X7" i="2" s="1"/>
  <c r="P7" i="2"/>
  <c r="Q7" i="2" s="1"/>
  <c r="Q9" i="2" s="1"/>
  <c r="Y7" i="2" l="1"/>
  <c r="Y9" i="2" s="1"/>
  <c r="AC15" i="2"/>
  <c r="AC25" i="2" s="1"/>
  <c r="Q46" i="2"/>
  <c r="Y46" i="2" s="1"/>
  <c r="P53" i="2"/>
  <c r="Y8" i="2"/>
  <c r="E66" i="2"/>
  <c r="P9" i="2"/>
  <c r="S66" i="2"/>
  <c r="P25" i="2"/>
  <c r="Y18" i="2"/>
  <c r="Y25" i="2" s="1"/>
  <c r="Y22" i="2"/>
  <c r="AA32" i="2"/>
  <c r="AA66" i="2" s="1"/>
  <c r="AC28" i="2"/>
  <c r="AC32" i="2" s="1"/>
  <c r="Q32" i="2"/>
  <c r="Y36" i="2"/>
  <c r="X53" i="2"/>
  <c r="Y47" i="2"/>
  <c r="X9" i="2"/>
  <c r="AC7" i="2"/>
  <c r="AC9" i="2" s="1"/>
  <c r="O66" i="2"/>
  <c r="W9" i="2"/>
  <c r="X25" i="2"/>
  <c r="AB25" i="2"/>
  <c r="AB66" i="2" s="1"/>
  <c r="AC17" i="2"/>
  <c r="AC19" i="2"/>
  <c r="AC21" i="2"/>
  <c r="AC23" i="2"/>
  <c r="Q25" i="2"/>
  <c r="W25" i="2"/>
  <c r="X32" i="2"/>
  <c r="AA53" i="2"/>
  <c r="AC36" i="2"/>
  <c r="AC41" i="2"/>
  <c r="AC46" i="2"/>
  <c r="AC48" i="2"/>
  <c r="Y49" i="2"/>
  <c r="Y52" i="2"/>
  <c r="X62" i="2"/>
  <c r="Y58" i="2"/>
  <c r="W53" i="2"/>
  <c r="AC51" i="2"/>
  <c r="P62" i="2"/>
  <c r="Q56" i="2"/>
  <c r="AB62" i="2"/>
  <c r="AC57" i="2"/>
  <c r="AC62" i="2" s="1"/>
  <c r="AC59" i="2"/>
  <c r="AC61" i="2"/>
  <c r="Y56" i="2" l="1"/>
  <c r="Y62" i="2" s="1"/>
  <c r="Q62" i="2"/>
  <c r="AC53" i="2"/>
  <c r="X66" i="2"/>
  <c r="Y53" i="2"/>
  <c r="Y66" i="2"/>
  <c r="W66" i="2"/>
  <c r="AC66" i="2"/>
  <c r="Q53" i="2"/>
  <c r="Q66" i="2" s="1"/>
  <c r="P66" i="2"/>
</calcChain>
</file>

<file path=xl/sharedStrings.xml><?xml version="1.0" encoding="utf-8"?>
<sst xmlns="http://schemas.openxmlformats.org/spreadsheetml/2006/main" count="180" uniqueCount="154">
  <si>
    <t>Código</t>
  </si>
  <si>
    <t>Empleado</t>
  </si>
  <si>
    <t>Nombramiento</t>
  </si>
  <si>
    <t>Sueldo</t>
  </si>
  <si>
    <t>DIAS LABORADOS</t>
  </si>
  <si>
    <t xml:space="preserve">PRESTAMO PENSIONES </t>
  </si>
  <si>
    <t xml:space="preserve">DEVOLUCION </t>
  </si>
  <si>
    <t>PRESTAMO MEDIANO PLAZO</t>
  </si>
  <si>
    <t>PRESTAMO HIPOTECARIO</t>
  </si>
  <si>
    <t>FONDO DE GARANTIA P H</t>
  </si>
  <si>
    <t>PRESTAMO LIQUIDES MEDIANO PLAZO</t>
  </si>
  <si>
    <t>FONDO DE GARANTIA MEDIANO PLAZO</t>
  </si>
  <si>
    <t xml:space="preserve">DESCUENTO FALTAS Y RETARDOS  </t>
  </si>
  <si>
    <t>DEVOLUCION RETROACTIVA DE APORTACION A PENSIONES</t>
  </si>
  <si>
    <t>*TOTAL* *PERCEPCIONES*</t>
  </si>
  <si>
    <t>Subsidio al empleo</t>
  </si>
  <si>
    <t xml:space="preserve">I.S.R. </t>
  </si>
  <si>
    <t>I.S.R. (sp)</t>
  </si>
  <si>
    <t xml:space="preserve">AJUSTE AL NETO </t>
  </si>
  <si>
    <t>Pensiones del Estado</t>
  </si>
  <si>
    <t>*TOTAL* *DEDUCCIONES*</t>
  </si>
  <si>
    <t>*NETO A PAGAR*</t>
  </si>
  <si>
    <t>IMSS PATRONAL</t>
  </si>
  <si>
    <t>CUOTAS A  PENSIONES  (IPEJAL 11.5% MAS 6.0% ADICIONAL)</t>
  </si>
  <si>
    <t>SEDAR PAT. PENSIONES DEL ESTADO</t>
  </si>
  <si>
    <t>*OBLIGACIONES PATRONALES*</t>
  </si>
  <si>
    <t>DEPARTAMENTO 1</t>
  </si>
  <si>
    <t>DIRECCION GENERAL</t>
  </si>
  <si>
    <t>DG01</t>
  </si>
  <si>
    <t>Méndez González Gabriela Elizabeth</t>
  </si>
  <si>
    <t>Directora General</t>
  </si>
  <si>
    <t>DG03</t>
  </si>
  <si>
    <t>Gallo Delgado Edith Gabriela</t>
  </si>
  <si>
    <t>Asistente de Dirección</t>
  </si>
  <si>
    <t>TOTAL DEPARTAMENTO</t>
  </si>
  <si>
    <t>DEPARTAMENTO 2</t>
  </si>
  <si>
    <t>JEFATURA ADMINISTRATIVA</t>
  </si>
  <si>
    <t>JA04</t>
  </si>
  <si>
    <t xml:space="preserve">Loera Gonzalez Gabriela Marisol </t>
  </si>
  <si>
    <t>Direccion Administrativa</t>
  </si>
  <si>
    <t>JA05</t>
  </si>
  <si>
    <t>Chavez Paz Pamela de Jesus</t>
  </si>
  <si>
    <t>Jefe de Operación</t>
  </si>
  <si>
    <t>V A C A N T E</t>
  </si>
  <si>
    <t>Abogado</t>
  </si>
  <si>
    <t>JA06</t>
  </si>
  <si>
    <t>Sanchez Garcia Jeronimo</t>
  </si>
  <si>
    <t>Jefatura de Vinculacion Administrativa</t>
  </si>
  <si>
    <t>JA08</t>
  </si>
  <si>
    <t>Martínez Ibarra José de Jesús</t>
  </si>
  <si>
    <t xml:space="preserve">Conserje </t>
  </si>
  <si>
    <t>JA09</t>
  </si>
  <si>
    <t xml:space="preserve">Nieves Servin Diego Alberto </t>
  </si>
  <si>
    <t>Auxiliar de Servicios Generales</t>
  </si>
  <si>
    <t>JA10</t>
  </si>
  <si>
    <t>Zúñiga Reynaga Yolanda</t>
  </si>
  <si>
    <t>Auxiliar General</t>
  </si>
  <si>
    <t>JA11</t>
  </si>
  <si>
    <t>Silva Díaz Angélica Araceli</t>
  </si>
  <si>
    <t xml:space="preserve">Intendente </t>
  </si>
  <si>
    <t>JA40</t>
  </si>
  <si>
    <t xml:space="preserve">Perez Gonzalez Maria Laura </t>
  </si>
  <si>
    <t>JA42</t>
  </si>
  <si>
    <t>Rodriguez Ramirez Xochitl</t>
  </si>
  <si>
    <t xml:space="preserve">Recepcionista </t>
  </si>
  <si>
    <t>JA43</t>
  </si>
  <si>
    <t>Leon Hernandez Irene Guadalupe</t>
  </si>
  <si>
    <t>Auxiliar Administrativo</t>
  </si>
  <si>
    <t>JA44</t>
  </si>
  <si>
    <t>Lopez Aranda Lisette Amparo</t>
  </si>
  <si>
    <t>JA45</t>
  </si>
  <si>
    <t>Flores Pozos Julio Cesar</t>
  </si>
  <si>
    <t>Coordinacion Financiera y Contable</t>
  </si>
  <si>
    <t>DEPARTAMENTO 4</t>
  </si>
  <si>
    <t>AREA MEDICA Y FISICA</t>
  </si>
  <si>
    <t>AM13</t>
  </si>
  <si>
    <t>Alatorre Rea Walter</t>
  </si>
  <si>
    <t>Medico</t>
  </si>
  <si>
    <t>AF12</t>
  </si>
  <si>
    <t>Rivas Tejeda Carlos Alberto</t>
  </si>
  <si>
    <t>Terapeuta Fisico</t>
  </si>
  <si>
    <t>AF14</t>
  </si>
  <si>
    <t>Arriaga Gómez Mariana</t>
  </si>
  <si>
    <t>Terapeuta (DM)</t>
  </si>
  <si>
    <t>AF15</t>
  </si>
  <si>
    <t>Olivares Morales Maria Ursula</t>
  </si>
  <si>
    <t>DEPARTAMENTO 5</t>
  </si>
  <si>
    <t>AREA ESPECIALIDADES</t>
  </si>
  <si>
    <t>AE16</t>
  </si>
  <si>
    <t>Terapeuta  (DI)</t>
  </si>
  <si>
    <t>Cantera Ramirez Ana Elizabeth</t>
  </si>
  <si>
    <t>Terapeuta (DI)</t>
  </si>
  <si>
    <t>AE17</t>
  </si>
  <si>
    <t>Chavez Martinez Elba Roxana</t>
  </si>
  <si>
    <t>AE42</t>
  </si>
  <si>
    <t>Rivas Guzman Ana Karen</t>
  </si>
  <si>
    <t xml:space="preserve">Coordinador Especialidades </t>
  </si>
  <si>
    <t>AT27</t>
  </si>
  <si>
    <t>Alvaro Oropeza Anabel</t>
  </si>
  <si>
    <t>Terapeuta  (DM)</t>
  </si>
  <si>
    <t>AE20</t>
  </si>
  <si>
    <t>Plascencia González Paola Viridiana</t>
  </si>
  <si>
    <t>Psicólogo</t>
  </si>
  <si>
    <t>AE21</t>
  </si>
  <si>
    <t>AE22</t>
  </si>
  <si>
    <t>AE23</t>
  </si>
  <si>
    <t>Flores Orozco Carolina</t>
  </si>
  <si>
    <t>Terapeuta (A y L)</t>
  </si>
  <si>
    <t>AE24</t>
  </si>
  <si>
    <t>Ortiz Anguiano Nélida Guadalupe</t>
  </si>
  <si>
    <t>AE25</t>
  </si>
  <si>
    <t>Trabajador Social</t>
  </si>
  <si>
    <t>AE26</t>
  </si>
  <si>
    <t>Navarro Sarabia Diana Cristina</t>
  </si>
  <si>
    <t>AE30</t>
  </si>
  <si>
    <t>González Angulo Karla Angélica</t>
  </si>
  <si>
    <t xml:space="preserve">Terapeuta </t>
  </si>
  <si>
    <t>AE31</t>
  </si>
  <si>
    <t>Villegas Ramirez Iyari</t>
  </si>
  <si>
    <t>AE32</t>
  </si>
  <si>
    <t>Montero Jauregui Maribel</t>
  </si>
  <si>
    <t>AE36</t>
  </si>
  <si>
    <t>Gutierrez Rodriguez Pamela Areli</t>
  </si>
  <si>
    <t>AE37</t>
  </si>
  <si>
    <t>AE38</t>
  </si>
  <si>
    <t xml:space="preserve">Tabares Renteria Jovanny Gabriel </t>
  </si>
  <si>
    <t>Monitor</t>
  </si>
  <si>
    <t>DEPARTAMENTO 6</t>
  </si>
  <si>
    <t>AREA TALLERES</t>
  </si>
  <si>
    <t>AE41</t>
  </si>
  <si>
    <t>De Anda Vargas Jessica Elizabeth</t>
  </si>
  <si>
    <t>Coordinadora Talleres</t>
  </si>
  <si>
    <t>AT28</t>
  </si>
  <si>
    <t>Ruiz Castorena Adriana Margarita</t>
  </si>
  <si>
    <t>AT36</t>
  </si>
  <si>
    <t>Rodriguez Mendez Elizabeth</t>
  </si>
  <si>
    <t xml:space="preserve">   </t>
  </si>
  <si>
    <t>AT33</t>
  </si>
  <si>
    <t xml:space="preserve">Reyes Nava Vanessa Gabriela </t>
  </si>
  <si>
    <t xml:space="preserve">Especialista en Terapia de Desarrollo de Habilidades </t>
  </si>
  <si>
    <t>AT34</t>
  </si>
  <si>
    <t>Bañuelos Estrada Cinthya Mayela</t>
  </si>
  <si>
    <t>AT35</t>
  </si>
  <si>
    <t>Ledezma Valdivia Martin</t>
  </si>
  <si>
    <t>TOTALES</t>
  </si>
  <si>
    <t>Base para aportacion a pensiones</t>
  </si>
  <si>
    <t>Base para aportacion a vivienda</t>
  </si>
  <si>
    <t>JERONIMO SANCHEZ GARCIA</t>
  </si>
  <si>
    <t xml:space="preserve">GABRIELA MARISOL LOERA GONZALEZ </t>
  </si>
  <si>
    <t>Contador</t>
  </si>
  <si>
    <t>Jefatura Administrativa</t>
  </si>
  <si>
    <t>2DA  DICIEMBRE   2021</t>
  </si>
  <si>
    <t>PRIMA VACACIONAL</t>
  </si>
  <si>
    <t>ISR A COMPENSAR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</si>
</sst>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</font>
    <font>
      <sz val="12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8"/>
      <color theme="1"/>
      <name val="Arial"/>
    </font>
    <font>
      <b/>
      <sz val="9"/>
      <color theme="1"/>
      <name val="Arial"/>
    </font>
    <font>
      <b/>
      <sz val="12"/>
      <color theme="1"/>
      <name val="Arial"/>
    </font>
    <font>
      <b/>
      <sz val="8"/>
      <color theme="1"/>
      <name val="Calibri"/>
    </font>
    <font>
      <b/>
      <sz val="16"/>
      <color theme="1"/>
      <name val="Calibri"/>
    </font>
    <font>
      <b/>
      <sz val="11"/>
      <color rgb="FFFF0000"/>
      <name val="Calibri"/>
    </font>
    <font>
      <b/>
      <sz val="12"/>
      <color theme="1"/>
      <name val="Calibri"/>
    </font>
    <font>
      <b/>
      <sz val="11"/>
      <color theme="1"/>
      <name val="Calibri"/>
    </font>
    <font>
      <sz val="14"/>
      <color theme="1"/>
      <name val="Calibri"/>
    </font>
    <font>
      <sz val="11"/>
      <color theme="1"/>
      <name val="Calibri"/>
    </font>
    <font>
      <sz val="9"/>
      <color theme="1"/>
      <name val="Calibri"/>
    </font>
    <font>
      <sz val="8"/>
      <color theme="1"/>
      <name val="Calibri"/>
      <family val="2"/>
    </font>
    <font>
      <sz val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50"/>
        <bgColor rgb="FF00B050"/>
      </patternFill>
    </fill>
    <fill>
      <patternFill patternType="solid">
        <fgColor rgb="FFCCC0D9"/>
        <bgColor rgb="FFCCC0D9"/>
      </patternFill>
    </fill>
    <fill>
      <patternFill patternType="solid">
        <fgColor rgb="FF95B3D7"/>
        <bgColor rgb="FF95B3D7"/>
      </patternFill>
    </fill>
    <fill>
      <patternFill patternType="solid">
        <fgColor rgb="FFC4E01A"/>
        <bgColor rgb="FFC4E01A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/>
      <right/>
      <top/>
      <bottom style="thin">
        <color rgb="FF953734"/>
      </bottom>
      <diagonal/>
    </border>
    <border>
      <left style="thin">
        <color rgb="FFFF0000"/>
      </left>
      <right style="thin">
        <color rgb="FFFF0000"/>
      </right>
      <top style="thin">
        <color rgb="FF953734"/>
      </top>
      <bottom style="thin">
        <color rgb="FFFF0000"/>
      </bottom>
      <diagonal/>
    </border>
    <border>
      <left style="thin">
        <color rgb="FFFF0000"/>
      </left>
      <right style="thin">
        <color rgb="FF953734"/>
      </right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/>
      <diagonal/>
    </border>
    <border>
      <left/>
      <right/>
      <top/>
      <bottom/>
      <diagonal/>
    </border>
    <border>
      <left style="thin">
        <color rgb="FF953734"/>
      </left>
      <right/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 style="thin">
        <color rgb="FF0000FD"/>
      </top>
      <bottom/>
      <diagonal/>
    </border>
    <border>
      <left style="thin">
        <color rgb="FFFF0000"/>
      </left>
      <right style="thin">
        <color rgb="FF953734"/>
      </right>
      <top style="thin">
        <color rgb="FF953734"/>
      </top>
      <bottom style="thin">
        <color rgb="FF953734"/>
      </bottom>
      <diagonal/>
    </border>
    <border>
      <left style="thin">
        <color rgb="FFFF0000"/>
      </left>
      <right/>
      <top/>
      <bottom/>
      <diagonal/>
    </border>
    <border>
      <left style="thin">
        <color rgb="FF953734"/>
      </left>
      <right/>
      <top style="thin">
        <color rgb="FF953734"/>
      </top>
      <bottom/>
      <diagonal/>
    </border>
    <border>
      <left style="thin">
        <color rgb="FFFF0000"/>
      </left>
      <right style="thin">
        <color rgb="FFFF0000"/>
      </right>
      <top style="thin">
        <color rgb="FF0000FD"/>
      </top>
      <bottom style="thin">
        <color rgb="FFFF0000"/>
      </bottom>
      <diagonal/>
    </border>
    <border>
      <left/>
      <right/>
      <top style="thin">
        <color rgb="FF953734"/>
      </top>
      <bottom/>
      <diagonal/>
    </border>
    <border>
      <left style="thin">
        <color rgb="FF953734"/>
      </left>
      <right style="thin">
        <color rgb="FF953734"/>
      </right>
      <top style="thin">
        <color rgb="FF953734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953734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0" fillId="0" borderId="0" xfId="0" applyNumberFormat="1" applyFont="1"/>
    <xf numFmtId="0" fontId="1" fillId="0" borderId="0" xfId="0" applyNumberFormat="1" applyFont="1"/>
    <xf numFmtId="0" fontId="0" fillId="0" borderId="0" xfId="0" applyNumberFormat="1" applyFont="1" applyAlignment="1"/>
    <xf numFmtId="0" fontId="0" fillId="0" borderId="0" xfId="0" applyNumberFormat="1" applyFont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0" borderId="0" xfId="0" applyNumberFormat="1" applyFont="1"/>
    <xf numFmtId="0" fontId="7" fillId="0" borderId="14" xfId="0" applyNumberFormat="1" applyFont="1" applyBorder="1"/>
    <xf numFmtId="0" fontId="0" fillId="0" borderId="15" xfId="0" applyNumberFormat="1" applyFont="1" applyBorder="1"/>
    <xf numFmtId="0" fontId="8" fillId="7" borderId="5" xfId="0" applyNumberFormat="1" applyFont="1" applyFill="1" applyBorder="1"/>
    <xf numFmtId="0" fontId="7" fillId="0" borderId="0" xfId="0" applyNumberFormat="1" applyFont="1" applyAlignment="1">
      <alignment horizontal="left"/>
    </xf>
    <xf numFmtId="0" fontId="10" fillId="0" borderId="0" xfId="0" applyNumberFormat="1" applyFont="1"/>
    <xf numFmtId="0" fontId="11" fillId="0" borderId="0" xfId="0" applyNumberFormat="1" applyFont="1"/>
    <xf numFmtId="0" fontId="2" fillId="5" borderId="5" xfId="0" applyNumberFormat="1" applyFont="1" applyFill="1" applyBorder="1"/>
    <xf numFmtId="0" fontId="12" fillId="0" borderId="0" xfId="0" applyNumberFormat="1" applyFont="1"/>
    <xf numFmtId="0" fontId="13" fillId="0" borderId="0" xfId="0" applyNumberFormat="1" applyFont="1"/>
    <xf numFmtId="0" fontId="8" fillId="8" borderId="5" xfId="0" applyNumberFormat="1" applyFont="1" applyFill="1" applyBorder="1"/>
    <xf numFmtId="0" fontId="0" fillId="0" borderId="0" xfId="0" applyNumberFormat="1" applyFont="1" applyAlignment="1">
      <alignment wrapText="1"/>
    </xf>
    <xf numFmtId="0" fontId="2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/>
    <xf numFmtId="0" fontId="0" fillId="3" borderId="5" xfId="0" applyNumberFormat="1" applyFont="1" applyFill="1" applyBorder="1"/>
    <xf numFmtId="0" fontId="8" fillId="0" borderId="0" xfId="0" applyNumberFormat="1" applyFont="1"/>
    <xf numFmtId="0" fontId="0" fillId="4" borderId="5" xfId="0" applyNumberFormat="1" applyFont="1" applyFill="1" applyBorder="1"/>
    <xf numFmtId="0" fontId="9" fillId="0" borderId="0" xfId="0" applyNumberFormat="1" applyFont="1" applyAlignment="1">
      <alignment horizontal="center"/>
    </xf>
    <xf numFmtId="0" fontId="0" fillId="6" borderId="5" xfId="0" applyNumberFormat="1" applyFont="1" applyFill="1" applyBorder="1"/>
    <xf numFmtId="0" fontId="0" fillId="9" borderId="5" xfId="0" applyNumberFormat="1" applyFont="1" applyFill="1" applyBorder="1"/>
    <xf numFmtId="0" fontId="12" fillId="6" borderId="5" xfId="0" applyNumberFormat="1" applyFont="1" applyFill="1" applyBorder="1"/>
    <xf numFmtId="0" fontId="2" fillId="10" borderId="5" xfId="0" applyNumberFormat="1" applyFont="1" applyFill="1" applyBorder="1"/>
    <xf numFmtId="0" fontId="2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/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/>
    <xf numFmtId="0" fontId="14" fillId="0" borderId="17" xfId="0" applyNumberFormat="1" applyFont="1" applyBorder="1" applyAlignment="1">
      <alignment horizontal="center"/>
    </xf>
    <xf numFmtId="0" fontId="3" fillId="0" borderId="17" xfId="0" applyNumberFormat="1" applyFont="1" applyBorder="1"/>
    <xf numFmtId="0" fontId="15" fillId="0" borderId="0" xfId="0" applyNumberFormat="1" applyFont="1"/>
    <xf numFmtId="0" fontId="15" fillId="0" borderId="16" xfId="0" applyNumberFormat="1" applyFont="1" applyBorder="1" applyAlignment="1">
      <alignment horizontal="center"/>
    </xf>
    <xf numFmtId="0" fontId="16" fillId="0" borderId="16" xfId="0" applyNumberFormat="1" applyFont="1" applyBorder="1"/>
    <xf numFmtId="0" fontId="15" fillId="0" borderId="0" xfId="0" applyNumberFormat="1" applyFont="1" applyAlignment="1">
      <alignment horizontal="center"/>
    </xf>
    <xf numFmtId="0" fontId="15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180975</xdr:colOff>
      <xdr:row>0</xdr:row>
      <xdr:rowOff>0</xdr:rowOff>
    </xdr:from>
    <xdr:ext cx="1190625" cy="7239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00"/>
  <sheetViews>
    <sheetView tabSelected="1" zoomScale="46" zoomScaleNormal="46" workbookViewId="0">
      <selection activeCell="E76" sqref="E76:F76"/>
    </sheetView>
  </sheetViews>
  <sheetFormatPr baseColWidth="10" defaultColWidth="14.42578125" defaultRowHeight="15" customHeight="1"/>
  <cols>
    <col min="1" max="1" width="10.7109375" style="3" customWidth="1"/>
    <col min="2" max="2" width="16.7109375" style="3" customWidth="1"/>
    <col min="3" max="3" width="36" style="3" customWidth="1"/>
    <col min="4" max="4" width="43" style="3" customWidth="1"/>
    <col min="5" max="24" width="10.7109375" style="3" customWidth="1"/>
    <col min="25" max="25" width="11.5703125" style="3" customWidth="1"/>
    <col min="26" max="26" width="16.28515625" style="3" customWidth="1"/>
    <col min="27" max="29" width="10.7109375" style="3" customWidth="1"/>
    <col min="30" max="16384" width="14.42578125" style="3"/>
  </cols>
  <sheetData>
    <row r="1" spans="1:2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</row>
    <row r="2" spans="1:29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2"/>
      <c r="Z2" s="1"/>
      <c r="AA2" s="1"/>
      <c r="AB2" s="1"/>
      <c r="AC2" s="1"/>
    </row>
    <row r="3" spans="1:29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"/>
      <c r="Z3" s="1"/>
      <c r="AA3" s="1"/>
      <c r="AB3" s="1"/>
      <c r="AC3" s="1"/>
    </row>
    <row r="4" spans="1:29" ht="18.75">
      <c r="A4" s="1"/>
      <c r="B4" s="42" t="s">
        <v>151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ht="78.75">
      <c r="A5" s="4"/>
      <c r="B5" s="5" t="s">
        <v>0</v>
      </c>
      <c r="C5" s="6" t="s">
        <v>1</v>
      </c>
      <c r="D5" s="7" t="s">
        <v>2</v>
      </c>
      <c r="E5" s="8" t="s">
        <v>3</v>
      </c>
      <c r="F5" s="9" t="s">
        <v>4</v>
      </c>
      <c r="G5" s="27" t="s">
        <v>5</v>
      </c>
      <c r="H5" s="28" t="s">
        <v>6</v>
      </c>
      <c r="I5" s="29" t="s">
        <v>7</v>
      </c>
      <c r="J5" s="27" t="s">
        <v>8</v>
      </c>
      <c r="K5" s="27" t="s">
        <v>9</v>
      </c>
      <c r="L5" s="8" t="s">
        <v>10</v>
      </c>
      <c r="M5" s="8" t="s">
        <v>11</v>
      </c>
      <c r="N5" s="10" t="s">
        <v>12</v>
      </c>
      <c r="O5" s="7" t="s">
        <v>13</v>
      </c>
      <c r="P5" s="7" t="s">
        <v>152</v>
      </c>
      <c r="Q5" s="7" t="s">
        <v>14</v>
      </c>
      <c r="R5" s="9" t="s">
        <v>15</v>
      </c>
      <c r="S5" s="9" t="s">
        <v>16</v>
      </c>
      <c r="T5" s="9" t="s">
        <v>17</v>
      </c>
      <c r="U5" s="10" t="s">
        <v>153</v>
      </c>
      <c r="V5" s="10" t="s">
        <v>18</v>
      </c>
      <c r="W5" s="30" t="s">
        <v>19</v>
      </c>
      <c r="X5" s="31" t="s">
        <v>20</v>
      </c>
      <c r="Y5" s="11" t="s">
        <v>21</v>
      </c>
      <c r="Z5" s="9" t="s">
        <v>22</v>
      </c>
      <c r="AA5" s="9" t="s">
        <v>23</v>
      </c>
      <c r="AB5" s="32" t="s">
        <v>24</v>
      </c>
      <c r="AC5" s="32" t="s">
        <v>25</v>
      </c>
    </row>
    <row r="6" spans="1:29" ht="15.75">
      <c r="A6" s="1"/>
      <c r="B6" s="12" t="s">
        <v>26</v>
      </c>
      <c r="C6" s="13" t="s">
        <v>27</v>
      </c>
      <c r="D6" s="13"/>
      <c r="E6" s="14"/>
      <c r="F6" s="1"/>
      <c r="G6" s="33"/>
      <c r="H6" s="1"/>
      <c r="I6" s="1"/>
      <c r="J6" s="1"/>
      <c r="K6" s="1"/>
      <c r="L6" s="1"/>
      <c r="M6" s="1"/>
      <c r="N6" s="14"/>
      <c r="O6" s="14"/>
      <c r="P6" s="14"/>
      <c r="Q6" s="14"/>
      <c r="R6" s="1"/>
      <c r="S6" s="1"/>
      <c r="T6" s="1"/>
      <c r="U6" s="1"/>
      <c r="V6" s="14"/>
      <c r="W6" s="1"/>
      <c r="X6" s="14"/>
      <c r="Y6" s="2"/>
      <c r="Z6" s="1"/>
      <c r="AA6" s="1"/>
      <c r="AB6" s="1"/>
      <c r="AC6" s="1"/>
    </row>
    <row r="7" spans="1:29" ht="21">
      <c r="A7" s="1"/>
      <c r="B7" s="1" t="s">
        <v>28</v>
      </c>
      <c r="C7" s="2" t="s">
        <v>29</v>
      </c>
      <c r="D7" s="1" t="s">
        <v>30</v>
      </c>
      <c r="E7" s="1">
        <v>24148.799999999999</v>
      </c>
      <c r="F7" s="26">
        <v>15</v>
      </c>
      <c r="G7" s="1"/>
      <c r="H7" s="1"/>
      <c r="I7" s="1"/>
      <c r="J7" s="1"/>
      <c r="K7" s="1"/>
      <c r="L7" s="1"/>
      <c r="M7" s="1"/>
      <c r="N7" s="1"/>
      <c r="O7" s="1"/>
      <c r="P7" s="1">
        <f t="shared" ref="P7:P8" si="0">E7/15*10*25%/184*92</f>
        <v>2012.4</v>
      </c>
      <c r="Q7" s="1">
        <f t="shared" ref="Q7:Q8" si="1">E7+-N7+P7</f>
        <v>26161.200000000001</v>
      </c>
      <c r="R7" s="1">
        <v>0</v>
      </c>
      <c r="S7" s="1"/>
      <c r="T7" s="1">
        <v>5489.54</v>
      </c>
      <c r="U7" s="1"/>
      <c r="V7" s="1">
        <v>-0.05</v>
      </c>
      <c r="W7" s="34">
        <f t="shared" ref="W7:W8" si="2">ROUND(E7*0.115,2)</f>
        <v>2777.11</v>
      </c>
      <c r="X7" s="1">
        <f t="shared" ref="X7:X8" si="3">SUM(T7:W7)+G7</f>
        <v>8266.6</v>
      </c>
      <c r="Y7" s="35">
        <f t="shared" ref="Y7:Y8" si="4">Q7-X7</f>
        <v>17894.599999999999</v>
      </c>
      <c r="Z7" s="1">
        <v>902.25</v>
      </c>
      <c r="AA7" s="1">
        <f t="shared" ref="AA7:AA8" si="5">+E7*17.5%+E7*3%</f>
        <v>4950.5039999999999</v>
      </c>
      <c r="AB7" s="36">
        <f t="shared" ref="AB7:AB8" si="6">ROUND(+E7*2%,2)</f>
        <v>482.98</v>
      </c>
      <c r="AC7" s="1">
        <f t="shared" ref="AC7:AC8" si="7">SUM(Z7:AB7)</f>
        <v>6335.7340000000004</v>
      </c>
    </row>
    <row r="8" spans="1:29" ht="21">
      <c r="A8" s="1"/>
      <c r="B8" s="1" t="s">
        <v>31</v>
      </c>
      <c r="C8" s="2" t="s">
        <v>32</v>
      </c>
      <c r="D8" s="1" t="s">
        <v>33</v>
      </c>
      <c r="E8" s="1">
        <v>6705.32</v>
      </c>
      <c r="F8" s="26">
        <v>15</v>
      </c>
      <c r="G8" s="1"/>
      <c r="H8" s="1"/>
      <c r="I8" s="1"/>
      <c r="J8" s="1"/>
      <c r="K8" s="1"/>
      <c r="L8" s="1"/>
      <c r="M8" s="1"/>
      <c r="N8" s="37">
        <v>1.06</v>
      </c>
      <c r="O8" s="1"/>
      <c r="P8" s="1">
        <f t="shared" si="0"/>
        <v>558.77666666666664</v>
      </c>
      <c r="Q8" s="1">
        <f t="shared" si="1"/>
        <v>7263.036666666666</v>
      </c>
      <c r="R8" s="1">
        <v>0</v>
      </c>
      <c r="S8" s="1"/>
      <c r="T8" s="1">
        <v>721.12</v>
      </c>
      <c r="U8" s="1"/>
      <c r="V8" s="1">
        <v>0.21</v>
      </c>
      <c r="W8" s="34">
        <f t="shared" si="2"/>
        <v>771.11</v>
      </c>
      <c r="X8" s="1">
        <f t="shared" si="3"/>
        <v>1492.44</v>
      </c>
      <c r="Y8" s="35">
        <f t="shared" si="4"/>
        <v>5770.5966666666664</v>
      </c>
      <c r="Z8" s="1">
        <v>410.07</v>
      </c>
      <c r="AA8" s="1">
        <f t="shared" si="5"/>
        <v>1374.5905999999998</v>
      </c>
      <c r="AB8" s="36">
        <f t="shared" si="6"/>
        <v>134.11000000000001</v>
      </c>
      <c r="AC8" s="1">
        <f t="shared" si="7"/>
        <v>1918.7705999999998</v>
      </c>
    </row>
    <row r="9" spans="1:29" ht="18.75">
      <c r="A9" s="1"/>
      <c r="B9" s="16" t="s">
        <v>34</v>
      </c>
      <c r="C9" s="17"/>
      <c r="D9" s="18"/>
      <c r="E9" s="19">
        <f>SUM(E7:E8)</f>
        <v>30854.12</v>
      </c>
      <c r="F9" s="19"/>
      <c r="G9" s="19">
        <f>+G8+G7</f>
        <v>0</v>
      </c>
      <c r="H9" s="19"/>
      <c r="I9" s="19"/>
      <c r="J9" s="19"/>
      <c r="K9" s="19"/>
      <c r="L9" s="19"/>
      <c r="M9" s="19"/>
      <c r="N9" s="19">
        <f t="shared" ref="N9:T9" si="8">SUM(N7:N8)</f>
        <v>1.06</v>
      </c>
      <c r="O9" s="19">
        <f t="shared" si="8"/>
        <v>0</v>
      </c>
      <c r="P9" s="19">
        <f t="shared" si="8"/>
        <v>2571.1766666666667</v>
      </c>
      <c r="Q9" s="19">
        <f t="shared" si="8"/>
        <v>33424.236666666664</v>
      </c>
      <c r="R9" s="19">
        <f t="shared" si="8"/>
        <v>0</v>
      </c>
      <c r="S9" s="19">
        <f t="shared" si="8"/>
        <v>0</v>
      </c>
      <c r="T9" s="19">
        <f t="shared" si="8"/>
        <v>6210.66</v>
      </c>
      <c r="U9" s="19"/>
      <c r="V9" s="19">
        <f t="shared" ref="V9:AC9" si="9">SUM(V7:V8)</f>
        <v>0.15999999999999998</v>
      </c>
      <c r="W9" s="19">
        <f t="shared" si="9"/>
        <v>3548.2200000000003</v>
      </c>
      <c r="X9" s="19">
        <f t="shared" si="9"/>
        <v>9759.0400000000009</v>
      </c>
      <c r="Y9" s="19">
        <f t="shared" si="9"/>
        <v>23665.196666666663</v>
      </c>
      <c r="Z9" s="19">
        <f t="shared" si="9"/>
        <v>1312.32</v>
      </c>
      <c r="AA9" s="19">
        <f t="shared" si="9"/>
        <v>6325.0945999999994</v>
      </c>
      <c r="AB9" s="19">
        <f t="shared" si="9"/>
        <v>617.09</v>
      </c>
      <c r="AC9" s="19">
        <f t="shared" si="9"/>
        <v>8254.5046000000002</v>
      </c>
    </row>
    <row r="10" spans="1:29" ht="18.75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0"/>
      <c r="Z10" s="1"/>
      <c r="AA10" s="1"/>
      <c r="AB10" s="1"/>
      <c r="AC10" s="1"/>
    </row>
    <row r="11" spans="1:29" ht="18.75">
      <c r="A11" s="1"/>
      <c r="B11" s="12" t="s">
        <v>35</v>
      </c>
      <c r="C11" s="17" t="s">
        <v>36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20"/>
      <c r="Z11" s="1"/>
      <c r="AA11" s="1"/>
      <c r="AB11" s="1"/>
      <c r="AC11" s="1"/>
    </row>
    <row r="12" spans="1:29" ht="21">
      <c r="A12" s="1"/>
      <c r="B12" s="1" t="s">
        <v>37</v>
      </c>
      <c r="C12" s="2" t="s">
        <v>38</v>
      </c>
      <c r="D12" s="1" t="s">
        <v>39</v>
      </c>
      <c r="E12" s="1">
        <v>14250</v>
      </c>
      <c r="F12" s="26">
        <v>15</v>
      </c>
      <c r="G12" s="1"/>
      <c r="H12" s="1"/>
      <c r="I12" s="1"/>
      <c r="J12" s="1"/>
      <c r="K12" s="1"/>
      <c r="L12" s="1"/>
      <c r="M12" s="1"/>
      <c r="N12" s="1"/>
      <c r="O12" s="1"/>
      <c r="P12" s="1">
        <f t="shared" ref="P12:P13" si="10">E12/15*10*25%/184*92</f>
        <v>1187.5</v>
      </c>
      <c r="Q12" s="1">
        <f t="shared" ref="Q12:Q13" si="11">E12+-N12+P12</f>
        <v>15437.5</v>
      </c>
      <c r="R12" s="1">
        <v>0</v>
      </c>
      <c r="S12" s="1"/>
      <c r="T12" s="1">
        <v>2632.16</v>
      </c>
      <c r="U12" s="1"/>
      <c r="V12" s="1">
        <v>0.19</v>
      </c>
      <c r="W12" s="34">
        <f t="shared" ref="W12:W13" si="12">ROUND(E12*0.115,2)</f>
        <v>1638.75</v>
      </c>
      <c r="X12" s="1">
        <f t="shared" ref="X12:X13" si="13">SUM(T12:W12)+G12</f>
        <v>4271.1000000000004</v>
      </c>
      <c r="Y12" s="35">
        <f t="shared" ref="Y12:Y13" si="14">Q12-X12</f>
        <v>11166.4</v>
      </c>
      <c r="Z12" s="1">
        <v>622.95000000000005</v>
      </c>
      <c r="AA12" s="1">
        <f t="shared" ref="AA12:AA13" si="15">ROUND(+E12*17.5%,2)+ROUND(E12*3%,2)</f>
        <v>2921.25</v>
      </c>
      <c r="AB12" s="36">
        <f t="shared" ref="AB12:AB13" si="16">ROUND(+E12*2%,2)</f>
        <v>285</v>
      </c>
      <c r="AC12" s="1">
        <f t="shared" ref="AC12:AC13" si="17">SUM(Z12:AB12)</f>
        <v>3829.2</v>
      </c>
    </row>
    <row r="13" spans="1:29" ht="21">
      <c r="A13" s="1"/>
      <c r="B13" s="1" t="s">
        <v>40</v>
      </c>
      <c r="C13" s="2" t="s">
        <v>41</v>
      </c>
      <c r="D13" s="1" t="s">
        <v>42</v>
      </c>
      <c r="E13" s="1">
        <v>12499.95</v>
      </c>
      <c r="F13" s="26">
        <v>15</v>
      </c>
      <c r="G13" s="1"/>
      <c r="H13" s="1"/>
      <c r="I13" s="1"/>
      <c r="J13" s="1"/>
      <c r="K13" s="1"/>
      <c r="L13" s="1"/>
      <c r="M13" s="1"/>
      <c r="N13" s="37"/>
      <c r="O13" s="1"/>
      <c r="P13" s="1">
        <f t="shared" si="10"/>
        <v>1041.6625000000001</v>
      </c>
      <c r="Q13" s="1">
        <f t="shared" si="11"/>
        <v>13541.612500000001</v>
      </c>
      <c r="R13" s="1">
        <v>0</v>
      </c>
      <c r="S13" s="1"/>
      <c r="T13" s="1">
        <v>2186.25</v>
      </c>
      <c r="U13" s="1"/>
      <c r="V13" s="1">
        <v>7.0000000000000007E-2</v>
      </c>
      <c r="W13" s="34">
        <f t="shared" si="12"/>
        <v>1437.49</v>
      </c>
      <c r="X13" s="1">
        <f t="shared" si="13"/>
        <v>3623.8100000000004</v>
      </c>
      <c r="Y13" s="35">
        <f t="shared" si="14"/>
        <v>9917.8025000000016</v>
      </c>
      <c r="Z13" s="1">
        <v>573.57000000000005</v>
      </c>
      <c r="AA13" s="1">
        <f t="shared" si="15"/>
        <v>2562.4899999999998</v>
      </c>
      <c r="AB13" s="36">
        <f t="shared" si="16"/>
        <v>250</v>
      </c>
      <c r="AC13" s="1">
        <f t="shared" si="17"/>
        <v>3386.06</v>
      </c>
    </row>
    <row r="14" spans="1:29" ht="21">
      <c r="A14" s="1"/>
      <c r="B14" s="1" t="s">
        <v>40</v>
      </c>
      <c r="C14" s="2" t="s">
        <v>43</v>
      </c>
      <c r="D14" s="1" t="s">
        <v>44</v>
      </c>
      <c r="E14" s="1"/>
      <c r="F14" s="26"/>
      <c r="G14" s="1"/>
      <c r="H14" s="1"/>
      <c r="I14" s="1"/>
      <c r="J14" s="1"/>
      <c r="K14" s="1"/>
      <c r="L14" s="1"/>
      <c r="M14" s="1"/>
      <c r="N14" s="37"/>
      <c r="O14" s="1"/>
      <c r="P14" s="1"/>
      <c r="Q14" s="1"/>
      <c r="R14" s="1"/>
      <c r="S14" s="1"/>
      <c r="T14" s="1"/>
      <c r="U14" s="1"/>
      <c r="V14" s="1"/>
      <c r="W14" s="1"/>
      <c r="X14" s="1"/>
      <c r="Y14" s="35"/>
      <c r="Z14" s="1"/>
      <c r="AA14" s="1"/>
      <c r="AB14" s="1"/>
      <c r="AC14" s="1"/>
    </row>
    <row r="15" spans="1:29" ht="21">
      <c r="A15" s="1"/>
      <c r="B15" s="1" t="s">
        <v>45</v>
      </c>
      <c r="C15" s="2" t="s">
        <v>46</v>
      </c>
      <c r="D15" s="1" t="s">
        <v>47</v>
      </c>
      <c r="E15" s="1">
        <v>9525</v>
      </c>
      <c r="F15" s="26">
        <v>15</v>
      </c>
      <c r="G15" s="38">
        <v>1000</v>
      </c>
      <c r="H15" s="1"/>
      <c r="I15" s="1"/>
      <c r="J15" s="1"/>
      <c r="K15" s="1"/>
      <c r="L15" s="1"/>
      <c r="M15" s="1"/>
      <c r="N15" s="37"/>
      <c r="O15" s="1"/>
      <c r="P15" s="1">
        <f>E15/15*10*25%/184*92</f>
        <v>793.75</v>
      </c>
      <c r="Q15" s="1">
        <f t="shared" ref="Q15:Q24" si="18">E15+-N15+P15</f>
        <v>10318.75</v>
      </c>
      <c r="R15" s="1">
        <v>0</v>
      </c>
      <c r="S15" s="1"/>
      <c r="T15" s="1">
        <v>1492.98</v>
      </c>
      <c r="U15" s="1"/>
      <c r="V15" s="1">
        <v>-0.01</v>
      </c>
      <c r="W15" s="34">
        <f>ROUND(E15*0.115,2)</f>
        <v>1095.3800000000001</v>
      </c>
      <c r="X15" s="1">
        <f t="shared" ref="X15:X24" si="19">SUM(T15:W15)+G15</f>
        <v>3588.3500000000004</v>
      </c>
      <c r="Y15" s="35">
        <f t="shared" ref="Y15:Y24" si="20">Q15-X15</f>
        <v>6730.4</v>
      </c>
      <c r="Z15" s="1">
        <v>489.63</v>
      </c>
      <c r="AA15" s="1">
        <f>ROUND(+E15*17.5%,2)+ROUND(E15*3%,2)</f>
        <v>1952.63</v>
      </c>
      <c r="AB15" s="36">
        <f>ROUND(+E15*2%,2)</f>
        <v>190.5</v>
      </c>
      <c r="AC15" s="1">
        <f t="shared" ref="AC15:AC24" si="21">SUM(Z15:AB15)</f>
        <v>2632.76</v>
      </c>
    </row>
    <row r="16" spans="1:29" ht="21">
      <c r="A16" s="1"/>
      <c r="B16" s="1" t="s">
        <v>48</v>
      </c>
      <c r="C16" s="2" t="s">
        <v>49</v>
      </c>
      <c r="D16" s="1" t="s">
        <v>50</v>
      </c>
      <c r="E16" s="1">
        <v>5467.23</v>
      </c>
      <c r="F16" s="26">
        <v>15</v>
      </c>
      <c r="G16" s="38">
        <v>2734</v>
      </c>
      <c r="H16" s="1"/>
      <c r="I16" s="1"/>
      <c r="J16" s="1"/>
      <c r="K16" s="1"/>
      <c r="L16" s="1"/>
      <c r="M16" s="1"/>
      <c r="N16" s="37"/>
      <c r="O16" s="1"/>
      <c r="P16" s="1">
        <f>E16/15*10*25%/184*175</f>
        <v>866.63519021739125</v>
      </c>
      <c r="Q16" s="1">
        <f t="shared" si="18"/>
        <v>6333.8651902173906</v>
      </c>
      <c r="R16" s="1">
        <v>0</v>
      </c>
      <c r="S16" s="1"/>
      <c r="T16" s="1">
        <v>573.45000000000005</v>
      </c>
      <c r="U16" s="1">
        <v>-230.94</v>
      </c>
      <c r="V16" s="1">
        <v>0.03</v>
      </c>
      <c r="W16" s="34">
        <v>628.73</v>
      </c>
      <c r="X16" s="1">
        <f t="shared" si="19"/>
        <v>3705.27</v>
      </c>
      <c r="Y16" s="15">
        <f t="shared" si="20"/>
        <v>2628.5951902173906</v>
      </c>
      <c r="Z16" s="1">
        <v>375.14</v>
      </c>
      <c r="AA16" s="1">
        <v>1120.79</v>
      </c>
      <c r="AB16" s="36">
        <v>109.34</v>
      </c>
      <c r="AC16" s="34">
        <f t="shared" si="21"/>
        <v>1605.2699999999998</v>
      </c>
    </row>
    <row r="17" spans="1:29" ht="21">
      <c r="A17" s="1"/>
      <c r="B17" s="21" t="s">
        <v>51</v>
      </c>
      <c r="C17" s="2" t="s">
        <v>52</v>
      </c>
      <c r="D17" s="21" t="s">
        <v>53</v>
      </c>
      <c r="E17" s="1">
        <v>5467.23</v>
      </c>
      <c r="F17" s="26">
        <v>15</v>
      </c>
      <c r="G17" s="38">
        <v>703.24</v>
      </c>
      <c r="H17" s="1"/>
      <c r="I17" s="1"/>
      <c r="J17" s="1"/>
      <c r="K17" s="1"/>
      <c r="L17" s="1"/>
      <c r="M17" s="1"/>
      <c r="N17" s="37"/>
      <c r="O17" s="1"/>
      <c r="P17" s="1">
        <f>E17/15*10*25%</f>
        <v>911.20499999999993</v>
      </c>
      <c r="Q17" s="1">
        <f t="shared" si="18"/>
        <v>6378.4349999999995</v>
      </c>
      <c r="R17" s="1"/>
      <c r="S17" s="1"/>
      <c r="T17" s="1">
        <v>575.79999999999995</v>
      </c>
      <c r="U17" s="1">
        <v>-107.56</v>
      </c>
      <c r="V17" s="1">
        <v>0.03</v>
      </c>
      <c r="W17" s="34">
        <f t="shared" ref="W17:W24" si="22">ROUND(E17*0.115,2)</f>
        <v>628.73</v>
      </c>
      <c r="X17" s="1">
        <f t="shared" si="19"/>
        <v>1800.24</v>
      </c>
      <c r="Y17" s="15">
        <f t="shared" si="20"/>
        <v>4578.1949999999997</v>
      </c>
      <c r="Z17" s="1">
        <v>375.14</v>
      </c>
      <c r="AA17" s="1">
        <f t="shared" ref="AA17:AA24" si="23">ROUND(+E17*17.5%,2)+ROUND(E17*3%,2)</f>
        <v>1120.79</v>
      </c>
      <c r="AB17" s="36">
        <f t="shared" ref="AB17:AB24" si="24">ROUND(+E17*2%,2)</f>
        <v>109.34</v>
      </c>
      <c r="AC17" s="34">
        <f t="shared" si="21"/>
        <v>1605.2699999999998</v>
      </c>
    </row>
    <row r="18" spans="1:29" ht="21">
      <c r="A18" s="1"/>
      <c r="B18" s="1" t="s">
        <v>54</v>
      </c>
      <c r="C18" s="2" t="s">
        <v>55</v>
      </c>
      <c r="D18" s="1" t="s">
        <v>56</v>
      </c>
      <c r="E18" s="1">
        <v>4844.53</v>
      </c>
      <c r="F18" s="26">
        <v>15</v>
      </c>
      <c r="G18" s="38">
        <v>2031</v>
      </c>
      <c r="H18" s="1"/>
      <c r="I18" s="1"/>
      <c r="J18" s="1"/>
      <c r="K18" s="1"/>
      <c r="L18" s="1"/>
      <c r="M18" s="1"/>
      <c r="N18" s="37"/>
      <c r="O18" s="1"/>
      <c r="P18" s="1">
        <f>E18/15*10*25%/184*182</f>
        <v>798.64534420289851</v>
      </c>
      <c r="Q18" s="1">
        <f t="shared" si="18"/>
        <v>5643.1753442028985</v>
      </c>
      <c r="R18" s="1"/>
      <c r="S18" s="1"/>
      <c r="T18" s="1">
        <v>438.9</v>
      </c>
      <c r="U18" s="1">
        <v>-159.11000000000001</v>
      </c>
      <c r="V18" s="1">
        <v>7.0000000000000007E-2</v>
      </c>
      <c r="W18" s="34">
        <f t="shared" si="22"/>
        <v>557.12</v>
      </c>
      <c r="X18" s="1">
        <f t="shared" si="19"/>
        <v>2867.98</v>
      </c>
      <c r="Y18" s="15">
        <f t="shared" si="20"/>
        <v>2775.1953442028985</v>
      </c>
      <c r="Z18" s="1">
        <v>357.56</v>
      </c>
      <c r="AA18" s="1">
        <f t="shared" si="23"/>
        <v>993.13</v>
      </c>
      <c r="AB18" s="36">
        <f t="shared" si="24"/>
        <v>96.89</v>
      </c>
      <c r="AC18" s="34">
        <f t="shared" si="21"/>
        <v>1447.5800000000002</v>
      </c>
    </row>
    <row r="19" spans="1:29" ht="21">
      <c r="A19" s="1"/>
      <c r="B19" s="1" t="s">
        <v>57</v>
      </c>
      <c r="C19" s="2" t="s">
        <v>58</v>
      </c>
      <c r="D19" s="1" t="s">
        <v>59</v>
      </c>
      <c r="E19" s="1">
        <v>5467.23</v>
      </c>
      <c r="F19" s="26">
        <v>15</v>
      </c>
      <c r="G19" s="38">
        <v>2655.36</v>
      </c>
      <c r="H19" s="37"/>
      <c r="I19" s="37"/>
      <c r="J19" s="37"/>
      <c r="K19" s="37"/>
      <c r="L19" s="37"/>
      <c r="M19" s="37"/>
      <c r="N19" s="37"/>
      <c r="O19" s="1"/>
      <c r="P19" s="1">
        <f t="shared" ref="P19:P20" si="25">E19/15*10*25%</f>
        <v>911.20499999999993</v>
      </c>
      <c r="Q19" s="1">
        <f t="shared" si="18"/>
        <v>6378.4349999999995</v>
      </c>
      <c r="R19" s="1"/>
      <c r="S19" s="1"/>
      <c r="T19" s="1">
        <v>581.42999999999995</v>
      </c>
      <c r="U19" s="1">
        <v>-74.05</v>
      </c>
      <c r="V19" s="1">
        <v>0.17</v>
      </c>
      <c r="W19" s="34">
        <f t="shared" si="22"/>
        <v>628.73</v>
      </c>
      <c r="X19" s="1">
        <f t="shared" si="19"/>
        <v>3791.6400000000003</v>
      </c>
      <c r="Y19" s="15">
        <f t="shared" si="20"/>
        <v>2586.7949999999992</v>
      </c>
      <c r="Z19" s="1">
        <v>375.14</v>
      </c>
      <c r="AA19" s="1">
        <f t="shared" si="23"/>
        <v>1120.79</v>
      </c>
      <c r="AB19" s="36">
        <f t="shared" si="24"/>
        <v>109.34</v>
      </c>
      <c r="AC19" s="34">
        <f t="shared" si="21"/>
        <v>1605.2699999999998</v>
      </c>
    </row>
    <row r="20" spans="1:29" ht="21">
      <c r="A20" s="1"/>
      <c r="B20" s="21" t="s">
        <v>60</v>
      </c>
      <c r="C20" s="2" t="s">
        <v>61</v>
      </c>
      <c r="D20" s="21" t="s">
        <v>56</v>
      </c>
      <c r="E20" s="1">
        <v>4844.53</v>
      </c>
      <c r="F20" s="26">
        <v>15</v>
      </c>
      <c r="G20" s="38">
        <v>2153</v>
      </c>
      <c r="H20" s="1"/>
      <c r="I20" s="1"/>
      <c r="J20" s="1"/>
      <c r="K20" s="1"/>
      <c r="L20" s="1"/>
      <c r="M20" s="1"/>
      <c r="N20" s="37"/>
      <c r="O20" s="1"/>
      <c r="P20" s="1">
        <f t="shared" si="25"/>
        <v>807.42166666666662</v>
      </c>
      <c r="Q20" s="1">
        <f t="shared" si="18"/>
        <v>5651.9516666666659</v>
      </c>
      <c r="R20" s="1"/>
      <c r="S20" s="1"/>
      <c r="T20" s="1">
        <v>440.31</v>
      </c>
      <c r="U20" s="1">
        <v>-129.71</v>
      </c>
      <c r="V20" s="1">
        <v>0.23</v>
      </c>
      <c r="W20" s="34">
        <f t="shared" si="22"/>
        <v>557.12</v>
      </c>
      <c r="X20" s="1">
        <f t="shared" si="19"/>
        <v>3020.95</v>
      </c>
      <c r="Y20" s="15">
        <f t="shared" si="20"/>
        <v>2631.0016666666661</v>
      </c>
      <c r="Z20" s="1">
        <v>357.56</v>
      </c>
      <c r="AA20" s="1">
        <f t="shared" si="23"/>
        <v>993.13</v>
      </c>
      <c r="AB20" s="36">
        <f t="shared" si="24"/>
        <v>96.89</v>
      </c>
      <c r="AC20" s="34">
        <f t="shared" si="21"/>
        <v>1447.5800000000002</v>
      </c>
    </row>
    <row r="21" spans="1:29" ht="15.75" customHeight="1">
      <c r="A21" s="1"/>
      <c r="B21" s="1" t="s">
        <v>62</v>
      </c>
      <c r="C21" s="2" t="s">
        <v>63</v>
      </c>
      <c r="D21" s="1" t="s">
        <v>64</v>
      </c>
      <c r="E21" s="1">
        <v>5278.8</v>
      </c>
      <c r="F21" s="26">
        <v>15</v>
      </c>
      <c r="G21" s="1"/>
      <c r="H21" s="37"/>
      <c r="I21" s="37"/>
      <c r="J21" s="37"/>
      <c r="K21" s="37"/>
      <c r="L21" s="37"/>
      <c r="M21" s="37"/>
      <c r="N21" s="37"/>
      <c r="O21" s="1"/>
      <c r="P21" s="1">
        <f>E21/15*10*25%/184*92</f>
        <v>439.9</v>
      </c>
      <c r="Q21" s="1">
        <f t="shared" si="18"/>
        <v>5718.7</v>
      </c>
      <c r="R21" s="1"/>
      <c r="S21" s="1"/>
      <c r="T21" s="1">
        <v>466.53</v>
      </c>
      <c r="U21" s="1"/>
      <c r="V21" s="1">
        <v>0.11</v>
      </c>
      <c r="W21" s="34">
        <f t="shared" si="22"/>
        <v>607.05999999999995</v>
      </c>
      <c r="X21" s="1">
        <f t="shared" si="19"/>
        <v>1073.6999999999998</v>
      </c>
      <c r="Y21" s="35">
        <f t="shared" si="20"/>
        <v>4645</v>
      </c>
      <c r="Z21" s="1">
        <v>369.82</v>
      </c>
      <c r="AA21" s="1">
        <f t="shared" si="23"/>
        <v>1082.1500000000001</v>
      </c>
      <c r="AB21" s="36">
        <f t="shared" si="24"/>
        <v>105.58</v>
      </c>
      <c r="AC21" s="1">
        <f t="shared" si="21"/>
        <v>1557.55</v>
      </c>
    </row>
    <row r="22" spans="1:29" ht="15.75" customHeight="1">
      <c r="A22" s="1"/>
      <c r="B22" s="1" t="s">
        <v>65</v>
      </c>
      <c r="C22" s="2" t="s">
        <v>66</v>
      </c>
      <c r="D22" s="21" t="s">
        <v>67</v>
      </c>
      <c r="E22" s="1">
        <v>5250</v>
      </c>
      <c r="F22" s="26">
        <v>15</v>
      </c>
      <c r="G22" s="1"/>
      <c r="H22" s="1"/>
      <c r="I22" s="1"/>
      <c r="J22" s="1"/>
      <c r="K22" s="1"/>
      <c r="L22" s="1"/>
      <c r="M22" s="1"/>
      <c r="N22" s="37"/>
      <c r="O22" s="1"/>
      <c r="P22" s="1">
        <f t="shared" ref="P22:P23" si="26">E22/15*10*25%/184*61</f>
        <v>290.08152173913044</v>
      </c>
      <c r="Q22" s="1">
        <f t="shared" si="18"/>
        <v>5540.08152173913</v>
      </c>
      <c r="R22" s="1"/>
      <c r="S22" s="1"/>
      <c r="T22" s="1">
        <v>461.92</v>
      </c>
      <c r="U22" s="1"/>
      <c r="V22" s="1">
        <v>0.01</v>
      </c>
      <c r="W22" s="34">
        <f t="shared" si="22"/>
        <v>603.75</v>
      </c>
      <c r="X22" s="1">
        <f t="shared" si="19"/>
        <v>1065.68</v>
      </c>
      <c r="Y22" s="15">
        <f t="shared" si="20"/>
        <v>4474.4015217391297</v>
      </c>
      <c r="Z22" s="1">
        <v>369.01</v>
      </c>
      <c r="AA22" s="1">
        <f t="shared" si="23"/>
        <v>1076.25</v>
      </c>
      <c r="AB22" s="36">
        <f t="shared" si="24"/>
        <v>105</v>
      </c>
      <c r="AC22" s="34">
        <f t="shared" si="21"/>
        <v>1550.26</v>
      </c>
    </row>
    <row r="23" spans="1:29" ht="15.75" customHeight="1">
      <c r="A23" s="1"/>
      <c r="B23" s="1" t="s">
        <v>68</v>
      </c>
      <c r="C23" s="2" t="s">
        <v>69</v>
      </c>
      <c r="D23" s="21" t="s">
        <v>67</v>
      </c>
      <c r="E23" s="1">
        <v>6705</v>
      </c>
      <c r="F23" s="26">
        <v>15</v>
      </c>
      <c r="G23" s="1"/>
      <c r="H23" s="1"/>
      <c r="I23" s="1"/>
      <c r="J23" s="1"/>
      <c r="K23" s="1"/>
      <c r="L23" s="1"/>
      <c r="M23" s="1"/>
      <c r="N23" s="37"/>
      <c r="O23" s="1"/>
      <c r="P23" s="1">
        <f t="shared" si="26"/>
        <v>370.47554347826087</v>
      </c>
      <c r="Q23" s="1">
        <f t="shared" si="18"/>
        <v>7075.475543478261</v>
      </c>
      <c r="R23" s="1"/>
      <c r="S23" s="1"/>
      <c r="T23" s="1">
        <v>791.89</v>
      </c>
      <c r="U23" s="1"/>
      <c r="V23" s="1">
        <v>0.11</v>
      </c>
      <c r="W23" s="34">
        <f t="shared" si="22"/>
        <v>771.08</v>
      </c>
      <c r="X23" s="1">
        <f t="shared" si="19"/>
        <v>1563.08</v>
      </c>
      <c r="Y23" s="15">
        <f t="shared" si="20"/>
        <v>5512.3955434782611</v>
      </c>
      <c r="Z23" s="1">
        <v>410.07</v>
      </c>
      <c r="AA23" s="1">
        <f t="shared" si="23"/>
        <v>1374.5300000000002</v>
      </c>
      <c r="AB23" s="36">
        <f t="shared" si="24"/>
        <v>134.1</v>
      </c>
      <c r="AC23" s="34">
        <f t="shared" si="21"/>
        <v>1918.7</v>
      </c>
    </row>
    <row r="24" spans="1:29" ht="15.75" customHeight="1">
      <c r="A24" s="1"/>
      <c r="B24" s="1" t="s">
        <v>70</v>
      </c>
      <c r="C24" s="2" t="s">
        <v>71</v>
      </c>
      <c r="D24" s="1" t="s">
        <v>72</v>
      </c>
      <c r="E24" s="1">
        <v>7989.28</v>
      </c>
      <c r="F24" s="26">
        <v>15</v>
      </c>
      <c r="G24" s="1"/>
      <c r="H24" s="1"/>
      <c r="I24" s="1"/>
      <c r="J24" s="1"/>
      <c r="K24" s="1"/>
      <c r="L24" s="1"/>
      <c r="M24" s="1"/>
      <c r="N24" s="37"/>
      <c r="O24" s="1"/>
      <c r="P24" s="1">
        <f>E24/15*10*25%/184*39</f>
        <v>282.22999999999996</v>
      </c>
      <c r="Q24" s="1">
        <f t="shared" si="18"/>
        <v>8271.51</v>
      </c>
      <c r="R24" s="1">
        <v>0</v>
      </c>
      <c r="S24" s="1"/>
      <c r="T24" s="1">
        <v>995.41</v>
      </c>
      <c r="U24" s="1"/>
      <c r="V24" s="1">
        <v>-7.0000000000000007E-2</v>
      </c>
      <c r="W24" s="34">
        <f t="shared" si="22"/>
        <v>918.77</v>
      </c>
      <c r="X24" s="1">
        <f t="shared" si="19"/>
        <v>1914.11</v>
      </c>
      <c r="Y24" s="15">
        <f t="shared" si="20"/>
        <v>6357.4000000000005</v>
      </c>
      <c r="Z24" s="1">
        <v>446.3</v>
      </c>
      <c r="AA24" s="1">
        <f t="shared" si="23"/>
        <v>1637.8</v>
      </c>
      <c r="AB24" s="36">
        <f t="shared" si="24"/>
        <v>159.79</v>
      </c>
      <c r="AC24" s="34">
        <f t="shared" si="21"/>
        <v>2243.89</v>
      </c>
    </row>
    <row r="25" spans="1:29" ht="15.75" customHeight="1">
      <c r="A25" s="1"/>
      <c r="B25" s="12" t="s">
        <v>34</v>
      </c>
      <c r="C25" s="17"/>
      <c r="D25" s="18"/>
      <c r="E25" s="19">
        <f>SUM(E12:E24)</f>
        <v>87588.779999999984</v>
      </c>
      <c r="F25" s="19"/>
      <c r="G25" s="19">
        <f>SUM(G12:G24)</f>
        <v>11276.6</v>
      </c>
      <c r="H25" s="19" t="e">
        <f>+#REF!+H18+H16+H12+H14+H15+H19</f>
        <v>#REF!</v>
      </c>
      <c r="I25" s="19"/>
      <c r="J25" s="19"/>
      <c r="K25" s="19"/>
      <c r="L25" s="19"/>
      <c r="M25" s="19"/>
      <c r="N25" s="19">
        <f t="shared" ref="N25:O25" si="27">SUM(N12:N23)</f>
        <v>0</v>
      </c>
      <c r="O25" s="19">
        <f t="shared" si="27"/>
        <v>0</v>
      </c>
      <c r="P25" s="19">
        <f t="shared" ref="P25:AC25" si="28">SUM(P12:P24)</f>
        <v>8700.7117663043464</v>
      </c>
      <c r="Q25" s="19">
        <f t="shared" si="28"/>
        <v>96289.491766304331</v>
      </c>
      <c r="R25" s="19">
        <f t="shared" si="28"/>
        <v>0</v>
      </c>
      <c r="S25" s="19">
        <f t="shared" si="28"/>
        <v>0</v>
      </c>
      <c r="T25" s="19">
        <f t="shared" si="28"/>
        <v>11637.029999999999</v>
      </c>
      <c r="U25" s="19">
        <f t="shared" si="28"/>
        <v>-701.37</v>
      </c>
      <c r="V25" s="19">
        <f t="shared" si="28"/>
        <v>0.94</v>
      </c>
      <c r="W25" s="19">
        <f t="shared" si="28"/>
        <v>10072.710000000001</v>
      </c>
      <c r="X25" s="19">
        <f t="shared" si="28"/>
        <v>32285.910000000003</v>
      </c>
      <c r="Y25" s="19">
        <f t="shared" si="28"/>
        <v>64003.581766304342</v>
      </c>
      <c r="Z25" s="19">
        <f t="shared" si="28"/>
        <v>5121.8899999999994</v>
      </c>
      <c r="AA25" s="19">
        <f t="shared" si="28"/>
        <v>17955.73</v>
      </c>
      <c r="AB25" s="19">
        <f t="shared" si="28"/>
        <v>1751.77</v>
      </c>
      <c r="AC25" s="19">
        <f t="shared" si="28"/>
        <v>24829.39</v>
      </c>
    </row>
    <row r="26" spans="1:29" ht="15.75" customHeight="1">
      <c r="A26" s="1"/>
      <c r="B26" s="12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20"/>
      <c r="Z26" s="1"/>
      <c r="AA26" s="1"/>
      <c r="AB26" s="1"/>
      <c r="AC26" s="1"/>
    </row>
    <row r="27" spans="1:29" ht="15.75" customHeight="1">
      <c r="A27" s="1"/>
      <c r="B27" s="12" t="s">
        <v>73</v>
      </c>
      <c r="C27" s="17" t="s">
        <v>74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20"/>
      <c r="Z27" s="1"/>
      <c r="AA27" s="1"/>
      <c r="AB27" s="1"/>
      <c r="AC27" s="1"/>
    </row>
    <row r="28" spans="1:29" ht="15.75" customHeight="1">
      <c r="A28" s="1"/>
      <c r="B28" s="1" t="s">
        <v>75</v>
      </c>
      <c r="C28" s="2" t="s">
        <v>76</v>
      </c>
      <c r="D28" s="21" t="s">
        <v>77</v>
      </c>
      <c r="E28" s="1">
        <v>7782.06</v>
      </c>
      <c r="F28" s="26">
        <v>15</v>
      </c>
      <c r="G28" s="1"/>
      <c r="H28" s="1"/>
      <c r="I28" s="1"/>
      <c r="J28" s="1"/>
      <c r="K28" s="1"/>
      <c r="L28" s="1"/>
      <c r="M28" s="1"/>
      <c r="N28" s="37"/>
      <c r="O28" s="1"/>
      <c r="P28" s="1">
        <f>E28/15*10*25%</f>
        <v>1297.01</v>
      </c>
      <c r="Q28" s="1">
        <f t="shared" ref="Q28:Q31" si="29">E28+-N28+P28</f>
        <v>9079.07</v>
      </c>
      <c r="R28" s="1">
        <v>0</v>
      </c>
      <c r="S28" s="1"/>
      <c r="T28" s="1">
        <v>1218.07</v>
      </c>
      <c r="U28" s="1">
        <v>-227.42</v>
      </c>
      <c r="V28" s="1">
        <v>0.08</v>
      </c>
      <c r="W28" s="34">
        <f t="shared" ref="W28:W31" si="30">ROUND(E28*0.115,2)</f>
        <v>894.94</v>
      </c>
      <c r="X28" s="1">
        <f t="shared" ref="X28:X31" si="31">SUM(T28:W28)+G28</f>
        <v>1885.67</v>
      </c>
      <c r="Y28" s="15">
        <f t="shared" ref="Y28:Y31" si="32">Q28-X28</f>
        <v>7193.4</v>
      </c>
      <c r="Z28" s="1">
        <v>440.45</v>
      </c>
      <c r="AA28" s="1">
        <f t="shared" ref="AA28:AA31" si="33">ROUND(+E28*17.5%,2)+ROUND(E28*3%,2)</f>
        <v>1595.32</v>
      </c>
      <c r="AB28" s="36">
        <f t="shared" ref="AB28:AB31" si="34">ROUND(+E28*2%,2)</f>
        <v>155.63999999999999</v>
      </c>
      <c r="AC28" s="34">
        <f t="shared" ref="AC28:AC31" si="35">SUM(Z28:AB28)</f>
        <v>2191.41</v>
      </c>
    </row>
    <row r="29" spans="1:29" ht="15.75" customHeight="1">
      <c r="A29" s="1"/>
      <c r="B29" s="1" t="s">
        <v>78</v>
      </c>
      <c r="C29" s="2" t="s">
        <v>79</v>
      </c>
      <c r="D29" s="21" t="s">
        <v>80</v>
      </c>
      <c r="E29" s="1">
        <v>7782.06</v>
      </c>
      <c r="F29" s="26">
        <v>15</v>
      </c>
      <c r="G29" s="1"/>
      <c r="H29" s="1"/>
      <c r="I29" s="1"/>
      <c r="J29" s="1"/>
      <c r="K29" s="1"/>
      <c r="L29" s="1"/>
      <c r="M29" s="1"/>
      <c r="N29" s="37"/>
      <c r="O29" s="1"/>
      <c r="P29" s="1">
        <f>E29/15*10*25%/184*183</f>
        <v>1289.9610326086956</v>
      </c>
      <c r="Q29" s="1">
        <f t="shared" si="29"/>
        <v>9072.0210326086963</v>
      </c>
      <c r="R29" s="1">
        <v>0</v>
      </c>
      <c r="S29" s="1"/>
      <c r="T29" s="1">
        <v>1216.57</v>
      </c>
      <c r="U29" s="1">
        <v>-227.43</v>
      </c>
      <c r="V29" s="1">
        <v>0.14000000000000001</v>
      </c>
      <c r="W29" s="34">
        <f t="shared" si="30"/>
        <v>894.94</v>
      </c>
      <c r="X29" s="1">
        <f t="shared" si="31"/>
        <v>1884.2199999999998</v>
      </c>
      <c r="Y29" s="15">
        <f t="shared" si="32"/>
        <v>7187.8010326086969</v>
      </c>
      <c r="Z29" s="1">
        <v>440.45</v>
      </c>
      <c r="AA29" s="1">
        <f t="shared" si="33"/>
        <v>1595.32</v>
      </c>
      <c r="AB29" s="36">
        <f t="shared" si="34"/>
        <v>155.63999999999999</v>
      </c>
      <c r="AC29" s="34">
        <f t="shared" si="35"/>
        <v>2191.41</v>
      </c>
    </row>
    <row r="30" spans="1:29" ht="15.75" customHeight="1">
      <c r="A30" s="1"/>
      <c r="B30" s="1" t="s">
        <v>81</v>
      </c>
      <c r="C30" s="2" t="s">
        <v>82</v>
      </c>
      <c r="D30" s="1" t="s">
        <v>83</v>
      </c>
      <c r="E30" s="1">
        <v>7782.06</v>
      </c>
      <c r="F30" s="26">
        <v>15</v>
      </c>
      <c r="G30" s="38">
        <v>3336</v>
      </c>
      <c r="H30" s="1"/>
      <c r="I30" s="1"/>
      <c r="J30" s="1"/>
      <c r="K30" s="1"/>
      <c r="L30" s="1"/>
      <c r="M30" s="1"/>
      <c r="N30" s="37"/>
      <c r="O30" s="1"/>
      <c r="P30" s="1">
        <f>E30/15*10*25%</f>
        <v>1297.01</v>
      </c>
      <c r="Q30" s="1">
        <f t="shared" si="29"/>
        <v>9079.07</v>
      </c>
      <c r="R30" s="1">
        <v>0</v>
      </c>
      <c r="S30" s="1"/>
      <c r="T30" s="1">
        <v>1218.07</v>
      </c>
      <c r="U30" s="1">
        <v>-227.42</v>
      </c>
      <c r="V30" s="1">
        <v>-0.12</v>
      </c>
      <c r="W30" s="34">
        <f t="shared" si="30"/>
        <v>894.94</v>
      </c>
      <c r="X30" s="1">
        <f t="shared" si="31"/>
        <v>5221.47</v>
      </c>
      <c r="Y30" s="15">
        <f t="shared" si="32"/>
        <v>3857.5999999999995</v>
      </c>
      <c r="Z30" s="1">
        <v>440.45</v>
      </c>
      <c r="AA30" s="1">
        <f t="shared" si="33"/>
        <v>1595.32</v>
      </c>
      <c r="AB30" s="36">
        <f t="shared" si="34"/>
        <v>155.63999999999999</v>
      </c>
      <c r="AC30" s="34">
        <f t="shared" si="35"/>
        <v>2191.41</v>
      </c>
    </row>
    <row r="31" spans="1:29" ht="15.75" customHeight="1">
      <c r="A31" s="1"/>
      <c r="B31" s="1" t="s">
        <v>84</v>
      </c>
      <c r="C31" s="2" t="s">
        <v>85</v>
      </c>
      <c r="D31" s="21" t="s">
        <v>80</v>
      </c>
      <c r="E31" s="1">
        <v>7782.06</v>
      </c>
      <c r="F31" s="26">
        <v>15</v>
      </c>
      <c r="G31" s="38">
        <v>1191</v>
      </c>
      <c r="H31" s="37"/>
      <c r="I31" s="37"/>
      <c r="J31" s="37"/>
      <c r="K31" s="37"/>
      <c r="L31" s="37"/>
      <c r="M31" s="37"/>
      <c r="N31" s="37"/>
      <c r="O31" s="1"/>
      <c r="P31" s="1">
        <f>E31/15*10*25%/184*183</f>
        <v>1289.9610326086956</v>
      </c>
      <c r="Q31" s="1">
        <f t="shared" si="29"/>
        <v>9072.0210326086963</v>
      </c>
      <c r="R31" s="1"/>
      <c r="S31" s="1"/>
      <c r="T31" s="1">
        <v>1216.57</v>
      </c>
      <c r="U31" s="1">
        <v>-227.43</v>
      </c>
      <c r="V31" s="1">
        <v>-0.06</v>
      </c>
      <c r="W31" s="34">
        <f t="shared" si="30"/>
        <v>894.94</v>
      </c>
      <c r="X31" s="1">
        <f t="shared" si="31"/>
        <v>3075.02</v>
      </c>
      <c r="Y31" s="15">
        <f t="shared" si="32"/>
        <v>5997.0010326086958</v>
      </c>
      <c r="Z31" s="1">
        <v>440.45</v>
      </c>
      <c r="AA31" s="1">
        <f t="shared" si="33"/>
        <v>1595.32</v>
      </c>
      <c r="AB31" s="36">
        <f t="shared" si="34"/>
        <v>155.63999999999999</v>
      </c>
      <c r="AC31" s="34">
        <f t="shared" si="35"/>
        <v>2191.41</v>
      </c>
    </row>
    <row r="32" spans="1:29" ht="15.75" customHeight="1">
      <c r="A32" s="1"/>
      <c r="B32" s="12" t="s">
        <v>34</v>
      </c>
      <c r="C32" s="17"/>
      <c r="D32" s="18"/>
      <c r="E32" s="19">
        <f>SUM(E28:E31)</f>
        <v>31128.240000000002</v>
      </c>
      <c r="F32" s="19"/>
      <c r="G32" s="19">
        <f>+G31+G30+G28+G29</f>
        <v>4527</v>
      </c>
      <c r="H32" s="19"/>
      <c r="I32" s="19"/>
      <c r="J32" s="19"/>
      <c r="K32" s="19"/>
      <c r="L32" s="19"/>
      <c r="M32" s="19"/>
      <c r="N32" s="19">
        <f t="shared" ref="N32:Q32" si="36">SUM(N28:N31)</f>
        <v>0</v>
      </c>
      <c r="O32" s="19">
        <f t="shared" si="36"/>
        <v>0</v>
      </c>
      <c r="P32" s="19">
        <f t="shared" si="36"/>
        <v>5173.9420652173912</v>
      </c>
      <c r="Q32" s="19">
        <f t="shared" si="36"/>
        <v>36302.182065217392</v>
      </c>
      <c r="R32" s="19">
        <f t="shared" ref="R32:S32" si="37">SUM(R28:R30)</f>
        <v>0</v>
      </c>
      <c r="S32" s="19">
        <f t="shared" si="37"/>
        <v>0</v>
      </c>
      <c r="T32" s="19">
        <f t="shared" ref="T32:AC32" si="38">SUM(T28:T31)</f>
        <v>4869.28</v>
      </c>
      <c r="U32" s="19">
        <f t="shared" si="38"/>
        <v>-909.7</v>
      </c>
      <c r="V32" s="19">
        <f t="shared" si="38"/>
        <v>4.0000000000000036E-2</v>
      </c>
      <c r="W32" s="19">
        <f t="shared" si="38"/>
        <v>3579.76</v>
      </c>
      <c r="X32" s="19">
        <f t="shared" si="38"/>
        <v>12066.380000000001</v>
      </c>
      <c r="Y32" s="19">
        <f t="shared" si="38"/>
        <v>24235.802065217391</v>
      </c>
      <c r="Z32" s="19">
        <f t="shared" si="38"/>
        <v>1761.8</v>
      </c>
      <c r="AA32" s="19">
        <f t="shared" si="38"/>
        <v>6381.28</v>
      </c>
      <c r="AB32" s="19">
        <f t="shared" si="38"/>
        <v>622.55999999999995</v>
      </c>
      <c r="AC32" s="19">
        <f t="shared" si="38"/>
        <v>8765.64</v>
      </c>
    </row>
    <row r="33" spans="1:29" ht="15.75" customHeight="1">
      <c r="A33" s="1"/>
      <c r="B33" s="1"/>
      <c r="C33" s="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0"/>
      <c r="Z33" s="1"/>
      <c r="AA33" s="1"/>
      <c r="AB33" s="1"/>
      <c r="AC33" s="1"/>
    </row>
    <row r="34" spans="1:29" ht="15.75" customHeight="1">
      <c r="A34" s="1"/>
      <c r="B34" s="12" t="s">
        <v>86</v>
      </c>
      <c r="C34" s="17" t="s">
        <v>87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20"/>
      <c r="Z34" s="1"/>
      <c r="AA34" s="1"/>
      <c r="AB34" s="1"/>
      <c r="AC34" s="1"/>
    </row>
    <row r="35" spans="1:29" ht="15.75" customHeight="1">
      <c r="A35" s="1"/>
      <c r="B35" s="1" t="s">
        <v>88</v>
      </c>
      <c r="C35" s="2"/>
      <c r="D35" s="21" t="s">
        <v>89</v>
      </c>
      <c r="E35" s="1"/>
      <c r="F35" s="26"/>
      <c r="G35" s="1"/>
      <c r="H35" s="1"/>
      <c r="I35" s="1"/>
      <c r="J35" s="1"/>
      <c r="K35" s="1"/>
      <c r="L35" s="1"/>
      <c r="M35" s="1"/>
      <c r="N35" s="37"/>
      <c r="O35" s="1"/>
      <c r="P35" s="1"/>
      <c r="Q35" s="1"/>
      <c r="R35" s="1"/>
      <c r="S35" s="1"/>
      <c r="T35" s="1"/>
      <c r="U35" s="1"/>
      <c r="V35" s="1"/>
      <c r="W35" s="36"/>
      <c r="X35" s="1"/>
      <c r="Y35" s="22"/>
      <c r="Z35" s="1"/>
      <c r="AA35" s="1"/>
      <c r="AB35" s="36"/>
      <c r="AC35" s="34"/>
    </row>
    <row r="36" spans="1:29" ht="15.75" customHeight="1">
      <c r="A36" s="1"/>
      <c r="B36" s="21" t="s">
        <v>88</v>
      </c>
      <c r="C36" s="2" t="s">
        <v>90</v>
      </c>
      <c r="D36" s="21" t="s">
        <v>91</v>
      </c>
      <c r="E36" s="1">
        <v>7782.06</v>
      </c>
      <c r="F36" s="26">
        <v>15</v>
      </c>
      <c r="G36" s="1"/>
      <c r="H36" s="1"/>
      <c r="I36" s="1"/>
      <c r="J36" s="1"/>
      <c r="K36" s="1"/>
      <c r="L36" s="1"/>
      <c r="M36" s="1"/>
      <c r="N36" s="37"/>
      <c r="O36" s="1"/>
      <c r="P36" s="1">
        <f>E36/15*10*25%/184*183</f>
        <v>1289.9610326086956</v>
      </c>
      <c r="Q36" s="1">
        <f t="shared" ref="Q36:Q52" si="39">E36+-N36+P36</f>
        <v>9072.0210326086963</v>
      </c>
      <c r="R36" s="1"/>
      <c r="S36" s="1"/>
      <c r="T36" s="1">
        <v>1216.57</v>
      </c>
      <c r="U36" s="1">
        <v>-227.42</v>
      </c>
      <c r="V36" s="1">
        <v>-7.0000000000000007E-2</v>
      </c>
      <c r="W36" s="36">
        <f t="shared" ref="W36:W52" si="40">ROUND(E36*0.115,2)</f>
        <v>894.94</v>
      </c>
      <c r="X36" s="1">
        <f t="shared" ref="X36:X38" si="41">SUM(T36:W36)+G36</f>
        <v>1884.02</v>
      </c>
      <c r="Y36" s="15">
        <f t="shared" ref="Y36:Y52" si="42">Q36-X36</f>
        <v>7188.0010326086958</v>
      </c>
      <c r="Z36" s="1">
        <v>440.45</v>
      </c>
      <c r="AA36" s="1">
        <f t="shared" ref="AA36:AA52" si="43">ROUND(+E36*17.5%,2)+ROUND(E36*3%,2)</f>
        <v>1595.32</v>
      </c>
      <c r="AB36" s="36">
        <f t="shared" ref="AB36:AB52" si="44">ROUND(+E36*2%,2)</f>
        <v>155.63999999999999</v>
      </c>
      <c r="AC36" s="34">
        <f t="shared" ref="AC36:AC52" si="45">SUM(Z36:AB36)</f>
        <v>2191.41</v>
      </c>
    </row>
    <row r="37" spans="1:29" ht="15.75" customHeight="1">
      <c r="A37" s="1"/>
      <c r="B37" s="1" t="s">
        <v>92</v>
      </c>
      <c r="C37" s="2" t="s">
        <v>93</v>
      </c>
      <c r="D37" s="21" t="s">
        <v>91</v>
      </c>
      <c r="E37" s="1">
        <v>7782.06</v>
      </c>
      <c r="F37" s="26">
        <v>15</v>
      </c>
      <c r="G37" s="1"/>
      <c r="H37" s="1"/>
      <c r="I37" s="1"/>
      <c r="J37" s="1"/>
      <c r="K37" s="1"/>
      <c r="L37" s="1"/>
      <c r="M37" s="1"/>
      <c r="N37" s="37"/>
      <c r="O37" s="1"/>
      <c r="P37" s="1">
        <f>E37/15*10*25%</f>
        <v>1297.01</v>
      </c>
      <c r="Q37" s="1">
        <f t="shared" si="39"/>
        <v>9079.07</v>
      </c>
      <c r="R37" s="1"/>
      <c r="S37" s="1"/>
      <c r="T37" s="1">
        <v>1218.07</v>
      </c>
      <c r="U37" s="1">
        <v>-227.42</v>
      </c>
      <c r="V37" s="1">
        <v>0.08</v>
      </c>
      <c r="W37" s="36">
        <f t="shared" si="40"/>
        <v>894.94</v>
      </c>
      <c r="X37" s="1">
        <f t="shared" si="41"/>
        <v>1885.67</v>
      </c>
      <c r="Y37" s="15">
        <f t="shared" si="42"/>
        <v>7193.4</v>
      </c>
      <c r="Z37" s="1">
        <v>440.45</v>
      </c>
      <c r="AA37" s="1">
        <f t="shared" si="43"/>
        <v>1595.32</v>
      </c>
      <c r="AB37" s="36">
        <f t="shared" si="44"/>
        <v>155.63999999999999</v>
      </c>
      <c r="AC37" s="34">
        <f t="shared" si="45"/>
        <v>2191.41</v>
      </c>
    </row>
    <row r="38" spans="1:29" ht="15.75" customHeight="1">
      <c r="A38" s="1"/>
      <c r="B38" s="1" t="s">
        <v>94</v>
      </c>
      <c r="C38" s="2" t="s">
        <v>95</v>
      </c>
      <c r="D38" s="1" t="s">
        <v>96</v>
      </c>
      <c r="E38" s="1">
        <v>7989.28</v>
      </c>
      <c r="F38" s="26">
        <v>15</v>
      </c>
      <c r="G38" s="1"/>
      <c r="H38" s="1"/>
      <c r="I38" s="1"/>
      <c r="J38" s="1"/>
      <c r="K38" s="1"/>
      <c r="L38" s="1"/>
      <c r="M38" s="1"/>
      <c r="N38" s="37">
        <v>1.27</v>
      </c>
      <c r="O38" s="1"/>
      <c r="P38" s="1">
        <f>E38/15*10*25%/184*61</f>
        <v>441.43666666666667</v>
      </c>
      <c r="Q38" s="1">
        <f t="shared" si="39"/>
        <v>8429.4466666666667</v>
      </c>
      <c r="R38" s="1">
        <v>0</v>
      </c>
      <c r="S38" s="1"/>
      <c r="T38" s="1">
        <v>995.41</v>
      </c>
      <c r="U38" s="1"/>
      <c r="V38" s="1">
        <v>7.0000000000000007E-2</v>
      </c>
      <c r="W38" s="36">
        <f t="shared" si="40"/>
        <v>918.77</v>
      </c>
      <c r="X38" s="1">
        <f t="shared" si="41"/>
        <v>1914.25</v>
      </c>
      <c r="Y38" s="15">
        <f t="shared" si="42"/>
        <v>6515.1966666666667</v>
      </c>
      <c r="Z38" s="1">
        <v>446.3</v>
      </c>
      <c r="AA38" s="1">
        <f t="shared" si="43"/>
        <v>1637.8</v>
      </c>
      <c r="AB38" s="36">
        <f t="shared" si="44"/>
        <v>159.79</v>
      </c>
      <c r="AC38" s="34">
        <f t="shared" si="45"/>
        <v>2243.89</v>
      </c>
    </row>
    <row r="39" spans="1:29" ht="15.75" customHeight="1">
      <c r="A39" s="1"/>
      <c r="B39" s="1" t="s">
        <v>97</v>
      </c>
      <c r="C39" s="2" t="s">
        <v>98</v>
      </c>
      <c r="D39" s="1" t="s">
        <v>99</v>
      </c>
      <c r="E39" s="1">
        <v>7782.06</v>
      </c>
      <c r="F39" s="26">
        <v>15</v>
      </c>
      <c r="G39" s="1"/>
      <c r="H39" s="1"/>
      <c r="I39" s="38">
        <v>2994.04</v>
      </c>
      <c r="J39" s="1"/>
      <c r="K39" s="1"/>
      <c r="L39" s="1"/>
      <c r="M39" s="1"/>
      <c r="N39" s="37"/>
      <c r="O39" s="1"/>
      <c r="P39" s="1">
        <f t="shared" ref="P39:P40" si="46">E39/15*10*25%</f>
        <v>1297.01</v>
      </c>
      <c r="Q39" s="1">
        <f t="shared" si="39"/>
        <v>9079.07</v>
      </c>
      <c r="R39" s="1">
        <v>0</v>
      </c>
      <c r="S39" s="1"/>
      <c r="T39" s="1">
        <v>1218.07</v>
      </c>
      <c r="U39" s="1">
        <v>-227.42</v>
      </c>
      <c r="V39" s="1">
        <v>0.04</v>
      </c>
      <c r="W39" s="36">
        <f t="shared" si="40"/>
        <v>894.94</v>
      </c>
      <c r="X39" s="1">
        <f>SUM(T39:W39)+G39+I39</f>
        <v>4879.67</v>
      </c>
      <c r="Y39" s="15">
        <f t="shared" si="42"/>
        <v>4199.3999999999996</v>
      </c>
      <c r="Z39" s="1">
        <v>440.45</v>
      </c>
      <c r="AA39" s="1">
        <f t="shared" si="43"/>
        <v>1595.32</v>
      </c>
      <c r="AB39" s="36">
        <f t="shared" si="44"/>
        <v>155.63999999999999</v>
      </c>
      <c r="AC39" s="34">
        <f t="shared" si="45"/>
        <v>2191.41</v>
      </c>
    </row>
    <row r="40" spans="1:29" ht="15.75" customHeight="1">
      <c r="A40" s="1"/>
      <c r="B40" s="1" t="s">
        <v>100</v>
      </c>
      <c r="C40" s="2" t="s">
        <v>101</v>
      </c>
      <c r="D40" s="1" t="s">
        <v>102</v>
      </c>
      <c r="E40" s="1">
        <v>7782.06</v>
      </c>
      <c r="F40" s="26">
        <v>15</v>
      </c>
      <c r="G40" s="38">
        <v>2143</v>
      </c>
      <c r="H40" s="1"/>
      <c r="I40" s="1"/>
      <c r="J40" s="1"/>
      <c r="K40" s="1"/>
      <c r="L40" s="1"/>
      <c r="M40" s="1"/>
      <c r="N40" s="37"/>
      <c r="O40" s="1"/>
      <c r="P40" s="1">
        <f t="shared" si="46"/>
        <v>1297.01</v>
      </c>
      <c r="Q40" s="1">
        <f t="shared" si="39"/>
        <v>9079.07</v>
      </c>
      <c r="R40" s="1">
        <v>0</v>
      </c>
      <c r="S40" s="1"/>
      <c r="T40" s="1">
        <v>1218.07</v>
      </c>
      <c r="U40" s="1">
        <v>-227.42</v>
      </c>
      <c r="V40" s="1">
        <v>0.08</v>
      </c>
      <c r="W40" s="36">
        <f t="shared" si="40"/>
        <v>894.94</v>
      </c>
      <c r="X40" s="1">
        <f t="shared" ref="X40:X42" si="47">SUM(T40:W40)+G40</f>
        <v>4028.67</v>
      </c>
      <c r="Y40" s="15">
        <f t="shared" si="42"/>
        <v>5050.3999999999996</v>
      </c>
      <c r="Z40" s="1">
        <v>440.45</v>
      </c>
      <c r="AA40" s="1">
        <f t="shared" si="43"/>
        <v>1595.32</v>
      </c>
      <c r="AB40" s="36">
        <f t="shared" si="44"/>
        <v>155.63999999999999</v>
      </c>
      <c r="AC40" s="34">
        <f t="shared" si="45"/>
        <v>2191.41</v>
      </c>
    </row>
    <row r="41" spans="1:29" ht="15.75" customHeight="1">
      <c r="A41" s="1"/>
      <c r="B41" s="1" t="s">
        <v>103</v>
      </c>
      <c r="C41" s="2" t="s">
        <v>43</v>
      </c>
      <c r="D41" s="1" t="s">
        <v>102</v>
      </c>
      <c r="E41" s="1"/>
      <c r="F41" s="26"/>
      <c r="G41" s="39"/>
      <c r="H41" s="1"/>
      <c r="I41" s="1"/>
      <c r="J41" s="1"/>
      <c r="K41" s="1"/>
      <c r="L41" s="1"/>
      <c r="M41" s="1"/>
      <c r="N41" s="37"/>
      <c r="O41" s="1"/>
      <c r="P41" s="1"/>
      <c r="Q41" s="1">
        <f t="shared" si="39"/>
        <v>0</v>
      </c>
      <c r="R41" s="1">
        <v>0</v>
      </c>
      <c r="S41" s="1"/>
      <c r="T41" s="1"/>
      <c r="U41" s="1"/>
      <c r="V41" s="1"/>
      <c r="W41" s="36">
        <f t="shared" si="40"/>
        <v>0</v>
      </c>
      <c r="X41" s="1">
        <f t="shared" si="47"/>
        <v>0</v>
      </c>
      <c r="Y41" s="15">
        <f t="shared" si="42"/>
        <v>0</v>
      </c>
      <c r="Z41" s="1"/>
      <c r="AA41" s="1">
        <f t="shared" si="43"/>
        <v>0</v>
      </c>
      <c r="AB41" s="36">
        <f t="shared" si="44"/>
        <v>0</v>
      </c>
      <c r="AC41" s="34">
        <f t="shared" si="45"/>
        <v>0</v>
      </c>
    </row>
    <row r="42" spans="1:29" ht="15.75" customHeight="1">
      <c r="A42" s="1"/>
      <c r="B42" s="1" t="s">
        <v>104</v>
      </c>
      <c r="C42" s="2" t="s">
        <v>43</v>
      </c>
      <c r="D42" s="1" t="s">
        <v>102</v>
      </c>
      <c r="E42" s="1"/>
      <c r="F42" s="26">
        <v>15</v>
      </c>
      <c r="G42" s="1"/>
      <c r="H42" s="1"/>
      <c r="I42" s="1"/>
      <c r="J42" s="1"/>
      <c r="K42" s="1"/>
      <c r="L42" s="1"/>
      <c r="M42" s="1"/>
      <c r="N42" s="37"/>
      <c r="O42" s="1"/>
      <c r="P42" s="1"/>
      <c r="Q42" s="1">
        <f t="shared" si="39"/>
        <v>0</v>
      </c>
      <c r="R42" s="1">
        <v>0</v>
      </c>
      <c r="S42" s="1"/>
      <c r="T42" s="1"/>
      <c r="U42" s="1"/>
      <c r="V42" s="1"/>
      <c r="W42" s="36">
        <f t="shared" si="40"/>
        <v>0</v>
      </c>
      <c r="X42" s="1">
        <f t="shared" si="47"/>
        <v>0</v>
      </c>
      <c r="Y42" s="15">
        <f t="shared" si="42"/>
        <v>0</v>
      </c>
      <c r="Z42" s="1">
        <v>0</v>
      </c>
      <c r="AA42" s="1">
        <f t="shared" si="43"/>
        <v>0</v>
      </c>
      <c r="AB42" s="36">
        <f t="shared" si="44"/>
        <v>0</v>
      </c>
      <c r="AC42" s="34">
        <f t="shared" si="45"/>
        <v>0</v>
      </c>
    </row>
    <row r="43" spans="1:29" ht="15.75" customHeight="1">
      <c r="A43" s="1"/>
      <c r="B43" s="21" t="s">
        <v>105</v>
      </c>
      <c r="C43" s="2" t="s">
        <v>106</v>
      </c>
      <c r="D43" s="21" t="s">
        <v>107</v>
      </c>
      <c r="E43" s="1">
        <v>7782.06</v>
      </c>
      <c r="F43" s="26">
        <v>15</v>
      </c>
      <c r="G43" s="1"/>
      <c r="H43" s="1"/>
      <c r="I43" s="1"/>
      <c r="J43" s="38">
        <v>2257.0300000000002</v>
      </c>
      <c r="K43" s="38">
        <v>86.18</v>
      </c>
      <c r="L43" s="38">
        <v>1375.93</v>
      </c>
      <c r="M43" s="38">
        <v>37.35</v>
      </c>
      <c r="N43" s="37"/>
      <c r="O43" s="1"/>
      <c r="P43" s="1">
        <f t="shared" ref="P43:P44" si="48">E43/15*10*25%</f>
        <v>1297.01</v>
      </c>
      <c r="Q43" s="1">
        <f t="shared" si="39"/>
        <v>9079.07</v>
      </c>
      <c r="R43" s="1">
        <v>0</v>
      </c>
      <c r="S43" s="1"/>
      <c r="T43" s="1">
        <v>1218.07</v>
      </c>
      <c r="U43" s="1">
        <v>-227.42</v>
      </c>
      <c r="V43" s="1">
        <v>-0.01</v>
      </c>
      <c r="W43" s="36">
        <f t="shared" si="40"/>
        <v>894.94</v>
      </c>
      <c r="X43" s="1">
        <f>SUM(T43:W43)+G43+J43+K43+L43+M43</f>
        <v>5642.0700000000015</v>
      </c>
      <c r="Y43" s="15">
        <f t="shared" si="42"/>
        <v>3436.9999999999982</v>
      </c>
      <c r="Z43" s="1">
        <v>440.45</v>
      </c>
      <c r="AA43" s="1">
        <f t="shared" si="43"/>
        <v>1595.32</v>
      </c>
      <c r="AB43" s="36">
        <f t="shared" si="44"/>
        <v>155.63999999999999</v>
      </c>
      <c r="AC43" s="34">
        <f t="shared" si="45"/>
        <v>2191.41</v>
      </c>
    </row>
    <row r="44" spans="1:29" ht="15.75" customHeight="1">
      <c r="A44" s="1"/>
      <c r="B44" s="1" t="s">
        <v>108</v>
      </c>
      <c r="C44" s="2" t="s">
        <v>109</v>
      </c>
      <c r="D44" s="1" t="s">
        <v>107</v>
      </c>
      <c r="E44" s="1">
        <v>7782.06</v>
      </c>
      <c r="F44" s="26">
        <v>15</v>
      </c>
      <c r="G44" s="38">
        <v>1183.75</v>
      </c>
      <c r="H44" s="1"/>
      <c r="I44" s="1"/>
      <c r="J44" s="38">
        <v>2344.37</v>
      </c>
      <c r="K44" s="38">
        <v>112.95</v>
      </c>
      <c r="L44" s="1"/>
      <c r="M44" s="1"/>
      <c r="N44" s="37"/>
      <c r="O44" s="1"/>
      <c r="P44" s="1">
        <f t="shared" si="48"/>
        <v>1297.01</v>
      </c>
      <c r="Q44" s="1">
        <f t="shared" si="39"/>
        <v>9079.07</v>
      </c>
      <c r="R44" s="1">
        <v>0</v>
      </c>
      <c r="S44" s="1"/>
      <c r="T44" s="1">
        <v>1218.07</v>
      </c>
      <c r="U44" s="1">
        <v>-227.42</v>
      </c>
      <c r="V44" s="1">
        <v>0.01</v>
      </c>
      <c r="W44" s="36">
        <f t="shared" si="40"/>
        <v>894.94</v>
      </c>
      <c r="X44" s="1">
        <f>SUM(T44:W44)+G44+J44+K44</f>
        <v>5526.6699999999992</v>
      </c>
      <c r="Y44" s="15">
        <f t="shared" si="42"/>
        <v>3552.4000000000005</v>
      </c>
      <c r="Z44" s="1">
        <v>440.45</v>
      </c>
      <c r="AA44" s="1">
        <f t="shared" si="43"/>
        <v>1595.32</v>
      </c>
      <c r="AB44" s="36">
        <f t="shared" si="44"/>
        <v>155.63999999999999</v>
      </c>
      <c r="AC44" s="34">
        <f t="shared" si="45"/>
        <v>2191.41</v>
      </c>
    </row>
    <row r="45" spans="1:29" ht="15.75" customHeight="1">
      <c r="A45" s="1"/>
      <c r="B45" s="1" t="s">
        <v>110</v>
      </c>
      <c r="C45" s="2" t="s">
        <v>43</v>
      </c>
      <c r="D45" s="1" t="s">
        <v>111</v>
      </c>
      <c r="E45" s="1"/>
      <c r="F45" s="26">
        <v>15</v>
      </c>
      <c r="G45" s="1"/>
      <c r="H45" s="1"/>
      <c r="I45" s="1"/>
      <c r="J45" s="1"/>
      <c r="K45" s="1"/>
      <c r="L45" s="1"/>
      <c r="M45" s="1"/>
      <c r="N45" s="37"/>
      <c r="O45" s="1"/>
      <c r="P45" s="1"/>
      <c r="Q45" s="1">
        <f t="shared" si="39"/>
        <v>0</v>
      </c>
      <c r="R45" s="1">
        <v>0</v>
      </c>
      <c r="S45" s="1"/>
      <c r="T45" s="1"/>
      <c r="U45" s="1"/>
      <c r="V45" s="1"/>
      <c r="W45" s="36">
        <f t="shared" si="40"/>
        <v>0</v>
      </c>
      <c r="X45" s="1">
        <f t="shared" ref="X45:X49" si="49">SUM(T45:W45)+G45</f>
        <v>0</v>
      </c>
      <c r="Y45" s="15">
        <f t="shared" si="42"/>
        <v>0</v>
      </c>
      <c r="Z45" s="1">
        <v>0</v>
      </c>
      <c r="AA45" s="1">
        <f t="shared" si="43"/>
        <v>0</v>
      </c>
      <c r="AB45" s="36">
        <f t="shared" si="44"/>
        <v>0</v>
      </c>
      <c r="AC45" s="34">
        <f t="shared" si="45"/>
        <v>0</v>
      </c>
    </row>
    <row r="46" spans="1:29" ht="15.75" customHeight="1">
      <c r="A46" s="1"/>
      <c r="B46" s="1" t="s">
        <v>112</v>
      </c>
      <c r="C46" s="2" t="s">
        <v>113</v>
      </c>
      <c r="D46" s="1" t="s">
        <v>111</v>
      </c>
      <c r="E46" s="1">
        <v>7782.06</v>
      </c>
      <c r="F46" s="26">
        <v>15</v>
      </c>
      <c r="G46" s="38">
        <v>1253</v>
      </c>
      <c r="H46" s="1"/>
      <c r="I46" s="1"/>
      <c r="J46" s="1"/>
      <c r="K46" s="1"/>
      <c r="L46" s="1"/>
      <c r="M46" s="1"/>
      <c r="N46" s="37"/>
      <c r="O46" s="1"/>
      <c r="P46" s="1">
        <f t="shared" ref="P46:P50" si="50">E46/15*10*25%</f>
        <v>1297.01</v>
      </c>
      <c r="Q46" s="1">
        <f t="shared" si="39"/>
        <v>9079.07</v>
      </c>
      <c r="R46" s="1">
        <v>0</v>
      </c>
      <c r="S46" s="1"/>
      <c r="T46" s="1">
        <v>1218.07</v>
      </c>
      <c r="U46" s="1">
        <v>-227.42</v>
      </c>
      <c r="V46" s="1">
        <v>0.08</v>
      </c>
      <c r="W46" s="36">
        <f t="shared" si="40"/>
        <v>894.94</v>
      </c>
      <c r="X46" s="1">
        <f t="shared" si="49"/>
        <v>3138.67</v>
      </c>
      <c r="Y46" s="15">
        <f t="shared" si="42"/>
        <v>5940.4</v>
      </c>
      <c r="Z46" s="1">
        <v>440.45</v>
      </c>
      <c r="AA46" s="1">
        <f t="shared" si="43"/>
        <v>1595.32</v>
      </c>
      <c r="AB46" s="36">
        <f t="shared" si="44"/>
        <v>155.63999999999999</v>
      </c>
      <c r="AC46" s="34">
        <f t="shared" si="45"/>
        <v>2191.41</v>
      </c>
    </row>
    <row r="47" spans="1:29" ht="15.75" customHeight="1">
      <c r="A47" s="1"/>
      <c r="B47" s="21" t="s">
        <v>114</v>
      </c>
      <c r="C47" s="2" t="s">
        <v>115</v>
      </c>
      <c r="D47" s="21" t="s">
        <v>116</v>
      </c>
      <c r="E47" s="1">
        <v>7782.06</v>
      </c>
      <c r="F47" s="26">
        <v>15</v>
      </c>
      <c r="G47" s="38">
        <v>1587</v>
      </c>
      <c r="H47" s="1"/>
      <c r="I47" s="1"/>
      <c r="J47" s="1"/>
      <c r="K47" s="1"/>
      <c r="L47" s="1"/>
      <c r="M47" s="1"/>
      <c r="N47" s="37"/>
      <c r="O47" s="1"/>
      <c r="P47" s="1">
        <f t="shared" si="50"/>
        <v>1297.01</v>
      </c>
      <c r="Q47" s="1">
        <f t="shared" si="39"/>
        <v>9079.07</v>
      </c>
      <c r="R47" s="1">
        <v>0</v>
      </c>
      <c r="S47" s="1"/>
      <c r="T47" s="1">
        <v>1218.07</v>
      </c>
      <c r="U47" s="1">
        <v>-227.42</v>
      </c>
      <c r="V47" s="1">
        <v>0.08</v>
      </c>
      <c r="W47" s="36">
        <f t="shared" si="40"/>
        <v>894.94</v>
      </c>
      <c r="X47" s="1">
        <f t="shared" si="49"/>
        <v>3472.67</v>
      </c>
      <c r="Y47" s="15">
        <f t="shared" si="42"/>
        <v>5606.4</v>
      </c>
      <c r="Z47" s="1">
        <v>440.45</v>
      </c>
      <c r="AA47" s="1">
        <f t="shared" si="43"/>
        <v>1595.32</v>
      </c>
      <c r="AB47" s="36">
        <f t="shared" si="44"/>
        <v>155.63999999999999</v>
      </c>
      <c r="AC47" s="34">
        <f t="shared" si="45"/>
        <v>2191.41</v>
      </c>
    </row>
    <row r="48" spans="1:29" ht="15.75" customHeight="1">
      <c r="A48" s="1"/>
      <c r="B48" s="21" t="s">
        <v>117</v>
      </c>
      <c r="C48" s="2" t="s">
        <v>118</v>
      </c>
      <c r="D48" s="21" t="s">
        <v>116</v>
      </c>
      <c r="E48" s="1">
        <v>7782.06</v>
      </c>
      <c r="F48" s="26">
        <v>15</v>
      </c>
      <c r="G48" s="38">
        <v>944</v>
      </c>
      <c r="H48" s="1"/>
      <c r="I48" s="1"/>
      <c r="J48" s="1"/>
      <c r="K48" s="1"/>
      <c r="L48" s="1"/>
      <c r="M48" s="1"/>
      <c r="N48" s="37"/>
      <c r="O48" s="1"/>
      <c r="P48" s="1">
        <f t="shared" si="50"/>
        <v>1297.01</v>
      </c>
      <c r="Q48" s="1">
        <f t="shared" si="39"/>
        <v>9079.07</v>
      </c>
      <c r="R48" s="1">
        <v>0</v>
      </c>
      <c r="S48" s="1"/>
      <c r="T48" s="1">
        <v>1218.07</v>
      </c>
      <c r="U48" s="1">
        <v>-227.42</v>
      </c>
      <c r="V48" s="1">
        <v>0.08</v>
      </c>
      <c r="W48" s="36">
        <f t="shared" si="40"/>
        <v>894.94</v>
      </c>
      <c r="X48" s="1">
        <f t="shared" si="49"/>
        <v>2829.67</v>
      </c>
      <c r="Y48" s="15">
        <f t="shared" si="42"/>
        <v>6249.4</v>
      </c>
      <c r="Z48" s="1">
        <v>440.45</v>
      </c>
      <c r="AA48" s="1">
        <f t="shared" si="43"/>
        <v>1595.32</v>
      </c>
      <c r="AB48" s="36">
        <f t="shared" si="44"/>
        <v>155.63999999999999</v>
      </c>
      <c r="AC48" s="34">
        <f t="shared" si="45"/>
        <v>2191.41</v>
      </c>
    </row>
    <row r="49" spans="1:29" ht="15.75" customHeight="1">
      <c r="A49" s="1"/>
      <c r="B49" s="21" t="s">
        <v>119</v>
      </c>
      <c r="C49" s="2" t="s">
        <v>120</v>
      </c>
      <c r="D49" s="21" t="s">
        <v>116</v>
      </c>
      <c r="E49" s="1">
        <v>7782.06</v>
      </c>
      <c r="F49" s="26">
        <v>15</v>
      </c>
      <c r="G49" s="1"/>
      <c r="H49" s="1"/>
      <c r="I49" s="1"/>
      <c r="J49" s="1"/>
      <c r="K49" s="1"/>
      <c r="L49" s="1"/>
      <c r="M49" s="1"/>
      <c r="N49" s="37"/>
      <c r="O49" s="1"/>
      <c r="P49" s="1">
        <f t="shared" si="50"/>
        <v>1297.01</v>
      </c>
      <c r="Q49" s="1">
        <f t="shared" si="39"/>
        <v>9079.07</v>
      </c>
      <c r="R49" s="1">
        <v>0</v>
      </c>
      <c r="S49" s="1"/>
      <c r="T49" s="1">
        <v>1218.07</v>
      </c>
      <c r="U49" s="1"/>
      <c r="V49" s="1">
        <v>0.06</v>
      </c>
      <c r="W49" s="36">
        <f t="shared" si="40"/>
        <v>894.94</v>
      </c>
      <c r="X49" s="1">
        <f t="shared" si="49"/>
        <v>2113.0699999999997</v>
      </c>
      <c r="Y49" s="15">
        <f t="shared" si="42"/>
        <v>6966</v>
      </c>
      <c r="Z49" s="1">
        <v>440.45</v>
      </c>
      <c r="AA49" s="1">
        <f t="shared" si="43"/>
        <v>1595.32</v>
      </c>
      <c r="AB49" s="36">
        <f t="shared" si="44"/>
        <v>155.63999999999999</v>
      </c>
      <c r="AC49" s="34">
        <f t="shared" si="45"/>
        <v>2191.41</v>
      </c>
    </row>
    <row r="50" spans="1:29" ht="15.75" customHeight="1">
      <c r="A50" s="1"/>
      <c r="B50" s="21" t="s">
        <v>121</v>
      </c>
      <c r="C50" s="2" t="s">
        <v>122</v>
      </c>
      <c r="D50" s="21" t="s">
        <v>116</v>
      </c>
      <c r="E50" s="1">
        <v>7782.06</v>
      </c>
      <c r="F50" s="26">
        <v>15</v>
      </c>
      <c r="G50" s="1"/>
      <c r="H50" s="1"/>
      <c r="I50" s="38">
        <v>2600.7800000000002</v>
      </c>
      <c r="J50" s="1"/>
      <c r="K50" s="1"/>
      <c r="L50" s="1"/>
      <c r="M50" s="1"/>
      <c r="N50" s="37"/>
      <c r="O50" s="1"/>
      <c r="P50" s="1">
        <f t="shared" si="50"/>
        <v>1297.01</v>
      </c>
      <c r="Q50" s="1">
        <f t="shared" si="39"/>
        <v>9079.07</v>
      </c>
      <c r="R50" s="1">
        <v>0</v>
      </c>
      <c r="S50" s="1"/>
      <c r="T50" s="1">
        <v>1218.07</v>
      </c>
      <c r="U50" s="1">
        <v>-227.42</v>
      </c>
      <c r="V50" s="1">
        <v>0.1</v>
      </c>
      <c r="W50" s="36">
        <f t="shared" si="40"/>
        <v>894.94</v>
      </c>
      <c r="X50" s="1">
        <f>SUM(T50:W50)+G50+I50</f>
        <v>4486.47</v>
      </c>
      <c r="Y50" s="15">
        <f t="shared" si="42"/>
        <v>4592.5999999999995</v>
      </c>
      <c r="Z50" s="1">
        <v>440.45</v>
      </c>
      <c r="AA50" s="1">
        <f t="shared" si="43"/>
        <v>1595.32</v>
      </c>
      <c r="AB50" s="36">
        <f t="shared" si="44"/>
        <v>155.63999999999999</v>
      </c>
      <c r="AC50" s="34">
        <f t="shared" si="45"/>
        <v>2191.41</v>
      </c>
    </row>
    <row r="51" spans="1:29" ht="15.75" customHeight="1">
      <c r="A51" s="1"/>
      <c r="B51" s="21" t="s">
        <v>123</v>
      </c>
      <c r="C51" s="2" t="s">
        <v>43</v>
      </c>
      <c r="D51" s="21" t="s">
        <v>116</v>
      </c>
      <c r="E51" s="1"/>
      <c r="F51" s="26"/>
      <c r="G51" s="1"/>
      <c r="H51" s="1"/>
      <c r="I51" s="1"/>
      <c r="J51" s="1"/>
      <c r="K51" s="1"/>
      <c r="L51" s="1"/>
      <c r="M51" s="1"/>
      <c r="N51" s="37"/>
      <c r="O51" s="1"/>
      <c r="P51" s="1"/>
      <c r="Q51" s="1">
        <f t="shared" si="39"/>
        <v>0</v>
      </c>
      <c r="R51" s="1">
        <v>0</v>
      </c>
      <c r="S51" s="1"/>
      <c r="T51" s="1"/>
      <c r="U51" s="1"/>
      <c r="V51" s="1"/>
      <c r="W51" s="36">
        <f t="shared" si="40"/>
        <v>0</v>
      </c>
      <c r="X51" s="1">
        <f t="shared" ref="X51:X52" si="51">SUM(T51:W51)+G51</f>
        <v>0</v>
      </c>
      <c r="Y51" s="15">
        <f t="shared" si="42"/>
        <v>0</v>
      </c>
      <c r="Z51" s="1"/>
      <c r="AA51" s="1">
        <f t="shared" si="43"/>
        <v>0</v>
      </c>
      <c r="AB51" s="36">
        <f t="shared" si="44"/>
        <v>0</v>
      </c>
      <c r="AC51" s="34">
        <f t="shared" si="45"/>
        <v>0</v>
      </c>
    </row>
    <row r="52" spans="1:29" ht="15.75" customHeight="1">
      <c r="A52" s="1"/>
      <c r="B52" s="21" t="s">
        <v>124</v>
      </c>
      <c r="C52" s="2" t="s">
        <v>125</v>
      </c>
      <c r="D52" s="21" t="s">
        <v>126</v>
      </c>
      <c r="E52" s="1">
        <v>4844.53</v>
      </c>
      <c r="F52" s="26">
        <v>15</v>
      </c>
      <c r="G52" s="1"/>
      <c r="H52" s="1"/>
      <c r="I52" s="1"/>
      <c r="J52" s="1"/>
      <c r="K52" s="1"/>
      <c r="L52" s="1"/>
      <c r="M52" s="1"/>
      <c r="N52" s="37"/>
      <c r="O52" s="1"/>
      <c r="P52" s="1">
        <f>E52/15*10*25%</f>
        <v>807.42166666666662</v>
      </c>
      <c r="Q52" s="1">
        <f t="shared" si="39"/>
        <v>5651.9516666666659</v>
      </c>
      <c r="R52" s="1"/>
      <c r="S52" s="1"/>
      <c r="T52" s="1">
        <v>440.31</v>
      </c>
      <c r="U52" s="1">
        <v>-129.71</v>
      </c>
      <c r="V52" s="1">
        <v>0.03</v>
      </c>
      <c r="W52" s="36">
        <f t="shared" si="40"/>
        <v>557.12</v>
      </c>
      <c r="X52" s="1">
        <f t="shared" si="51"/>
        <v>867.75</v>
      </c>
      <c r="Y52" s="15">
        <f t="shared" si="42"/>
        <v>4784.2016666666659</v>
      </c>
      <c r="Z52" s="1">
        <v>357.56</v>
      </c>
      <c r="AA52" s="1">
        <f t="shared" si="43"/>
        <v>993.13</v>
      </c>
      <c r="AB52" s="36">
        <f t="shared" si="44"/>
        <v>96.89</v>
      </c>
      <c r="AC52" s="34">
        <f t="shared" si="45"/>
        <v>1447.5800000000002</v>
      </c>
    </row>
    <row r="53" spans="1:29" ht="15.75" customHeight="1">
      <c r="A53" s="1"/>
      <c r="B53" s="12" t="s">
        <v>34</v>
      </c>
      <c r="C53" s="17"/>
      <c r="D53" s="18"/>
      <c r="E53" s="19">
        <f>SUM(E35:E52)</f>
        <v>98436.469999999987</v>
      </c>
      <c r="F53" s="19"/>
      <c r="G53" s="19">
        <f t="shared" ref="G53:O53" si="52">SUM(G35:G52)</f>
        <v>7110.75</v>
      </c>
      <c r="H53" s="19">
        <f t="shared" si="52"/>
        <v>0</v>
      </c>
      <c r="I53" s="19">
        <f t="shared" si="52"/>
        <v>5594.82</v>
      </c>
      <c r="J53" s="19">
        <f t="shared" si="52"/>
        <v>4601.3999999999996</v>
      </c>
      <c r="K53" s="19">
        <f t="shared" si="52"/>
        <v>199.13</v>
      </c>
      <c r="L53" s="19">
        <f t="shared" si="52"/>
        <v>1375.93</v>
      </c>
      <c r="M53" s="19">
        <f t="shared" si="52"/>
        <v>37.35</v>
      </c>
      <c r="N53" s="19">
        <f t="shared" si="52"/>
        <v>1.27</v>
      </c>
      <c r="O53" s="19">
        <f t="shared" si="52"/>
        <v>0</v>
      </c>
      <c r="P53" s="19">
        <f>SUM(P36:P52)</f>
        <v>15508.919365942031</v>
      </c>
      <c r="Q53" s="19">
        <f t="shared" ref="Q53:AC53" si="53">SUM(Q35:Q52)</f>
        <v>113944.11936594205</v>
      </c>
      <c r="R53" s="19">
        <f t="shared" si="53"/>
        <v>0</v>
      </c>
      <c r="S53" s="19">
        <f t="shared" si="53"/>
        <v>0</v>
      </c>
      <c r="T53" s="19">
        <f t="shared" si="53"/>
        <v>14832.989999999998</v>
      </c>
      <c r="U53" s="19">
        <f t="shared" si="53"/>
        <v>-2403.9100000000003</v>
      </c>
      <c r="V53" s="19">
        <f t="shared" si="53"/>
        <v>0.63</v>
      </c>
      <c r="W53" s="19">
        <f t="shared" si="53"/>
        <v>11320.230000000005</v>
      </c>
      <c r="X53" s="19">
        <f t="shared" si="53"/>
        <v>42669.32</v>
      </c>
      <c r="Y53" s="19">
        <f t="shared" si="53"/>
        <v>71274.799365942032</v>
      </c>
      <c r="Z53" s="19">
        <f t="shared" si="53"/>
        <v>5648.8099999999995</v>
      </c>
      <c r="AA53" s="19">
        <f t="shared" si="53"/>
        <v>20179.45</v>
      </c>
      <c r="AB53" s="19">
        <f t="shared" si="53"/>
        <v>1968.7199999999996</v>
      </c>
      <c r="AC53" s="19">
        <f t="shared" si="53"/>
        <v>27796.98</v>
      </c>
    </row>
    <row r="54" spans="1:29" ht="15.75" customHeight="1">
      <c r="A54" s="1"/>
      <c r="B54" s="1"/>
      <c r="C54" s="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0"/>
      <c r="Z54" s="1"/>
      <c r="AA54" s="1"/>
      <c r="AB54" s="1"/>
      <c r="AC54" s="1"/>
    </row>
    <row r="55" spans="1:29" ht="15.75" customHeight="1">
      <c r="A55" s="1"/>
      <c r="B55" s="12" t="s">
        <v>127</v>
      </c>
      <c r="C55" s="17" t="s">
        <v>128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20"/>
      <c r="Z55" s="1"/>
      <c r="AA55" s="1"/>
      <c r="AB55" s="1"/>
      <c r="AC55" s="1"/>
    </row>
    <row r="56" spans="1:29" ht="15.75" customHeight="1">
      <c r="A56" s="1"/>
      <c r="B56" s="1" t="s">
        <v>129</v>
      </c>
      <c r="C56" s="2" t="s">
        <v>130</v>
      </c>
      <c r="D56" s="1" t="s">
        <v>131</v>
      </c>
      <c r="E56" s="1">
        <v>7989.28</v>
      </c>
      <c r="F56" s="26">
        <v>15</v>
      </c>
      <c r="G56" s="40">
        <v>1058.07</v>
      </c>
      <c r="H56" s="1"/>
      <c r="I56" s="1"/>
      <c r="J56" s="1"/>
      <c r="K56" s="1"/>
      <c r="L56" s="1"/>
      <c r="M56" s="1"/>
      <c r="N56" s="37"/>
      <c r="O56" s="1"/>
      <c r="P56" s="1">
        <f>E56/15*10*25%/184*92</f>
        <v>665.77333333333331</v>
      </c>
      <c r="Q56" s="1">
        <f t="shared" ref="Q56:Q61" si="54">E56+-N56+P56</f>
        <v>8655.0533333333333</v>
      </c>
      <c r="R56" s="1"/>
      <c r="S56" s="1"/>
      <c r="T56" s="1">
        <v>1137.6199999999999</v>
      </c>
      <c r="U56" s="1"/>
      <c r="V56" s="1">
        <v>-0.01</v>
      </c>
      <c r="W56" s="34">
        <f t="shared" ref="W56:W61" si="55">ROUND(E56*0.115,2)</f>
        <v>918.77</v>
      </c>
      <c r="X56" s="1">
        <f t="shared" ref="X56:X61" si="56">SUM(T56:W56)+G56</f>
        <v>3114.45</v>
      </c>
      <c r="Y56" s="35">
        <f t="shared" ref="Y56:Y61" si="57">Q56-X56</f>
        <v>5540.6033333333335</v>
      </c>
      <c r="Z56" s="1">
        <v>446.29</v>
      </c>
      <c r="AA56" s="1">
        <f t="shared" ref="AA56:AA61" si="58">ROUND(+E56*17.5%,2)+ROUND(E56*3%,2)</f>
        <v>1637.8</v>
      </c>
      <c r="AB56" s="36">
        <f t="shared" ref="AB56:AB61" si="59">ROUND(+E56*2%,2)</f>
        <v>159.79</v>
      </c>
      <c r="AC56" s="1">
        <f t="shared" ref="AC56:AC61" si="60">SUM(Z56:AB56)</f>
        <v>2243.88</v>
      </c>
    </row>
    <row r="57" spans="1:29" ht="15.75" customHeight="1">
      <c r="A57" s="1"/>
      <c r="B57" s="1" t="s">
        <v>132</v>
      </c>
      <c r="C57" s="2" t="s">
        <v>133</v>
      </c>
      <c r="D57" s="1" t="s">
        <v>89</v>
      </c>
      <c r="E57" s="1">
        <v>7782.06</v>
      </c>
      <c r="F57" s="26">
        <v>15</v>
      </c>
      <c r="G57" s="38">
        <v>1518.83</v>
      </c>
      <c r="H57" s="1"/>
      <c r="I57" s="1"/>
      <c r="J57" s="1"/>
      <c r="K57" s="1"/>
      <c r="L57" s="1"/>
      <c r="M57" s="1"/>
      <c r="N57" s="37"/>
      <c r="O57" s="1"/>
      <c r="P57" s="1">
        <f>E57/15*10*25%</f>
        <v>1297.01</v>
      </c>
      <c r="Q57" s="1">
        <f t="shared" si="54"/>
        <v>9079.07</v>
      </c>
      <c r="R57" s="1"/>
      <c r="S57" s="1"/>
      <c r="T57" s="1">
        <v>1218.07</v>
      </c>
      <c r="U57" s="1">
        <v>-227.42</v>
      </c>
      <c r="V57" s="1">
        <v>0.05</v>
      </c>
      <c r="W57" s="34">
        <f t="shared" si="55"/>
        <v>894.94</v>
      </c>
      <c r="X57" s="1">
        <f t="shared" si="56"/>
        <v>3404.47</v>
      </c>
      <c r="Y57" s="15">
        <f t="shared" si="57"/>
        <v>5674.6</v>
      </c>
      <c r="Z57" s="1">
        <v>440.45</v>
      </c>
      <c r="AA57" s="1">
        <f t="shared" si="58"/>
        <v>1595.32</v>
      </c>
      <c r="AB57" s="36">
        <f t="shared" si="59"/>
        <v>155.63999999999999</v>
      </c>
      <c r="AC57" s="34">
        <f t="shared" si="60"/>
        <v>2191.41</v>
      </c>
    </row>
    <row r="58" spans="1:29" ht="15.75" customHeight="1">
      <c r="A58" s="1"/>
      <c r="B58" s="1" t="s">
        <v>134</v>
      </c>
      <c r="C58" s="2" t="s">
        <v>135</v>
      </c>
      <c r="D58" s="1" t="s">
        <v>116</v>
      </c>
      <c r="E58" s="1">
        <v>7513.82</v>
      </c>
      <c r="F58" s="26">
        <v>15</v>
      </c>
      <c r="G58" s="1"/>
      <c r="H58" s="1"/>
      <c r="I58" s="1"/>
      <c r="J58" s="1"/>
      <c r="K58" s="1"/>
      <c r="L58" s="1"/>
      <c r="M58" s="1"/>
      <c r="N58" s="37"/>
      <c r="O58" s="1"/>
      <c r="P58" s="1">
        <f>E58/15*10*25%/184*61</f>
        <v>415.16577898550725</v>
      </c>
      <c r="Q58" s="1">
        <f t="shared" si="54"/>
        <v>7928.9857789855068</v>
      </c>
      <c r="R58" s="1"/>
      <c r="S58" s="1"/>
      <c r="T58" s="1">
        <v>982.53</v>
      </c>
      <c r="U58" s="1"/>
      <c r="V58" s="1">
        <v>0.17</v>
      </c>
      <c r="W58" s="34">
        <f t="shared" si="55"/>
        <v>864.09</v>
      </c>
      <c r="X58" s="1">
        <f t="shared" si="56"/>
        <v>1846.79</v>
      </c>
      <c r="Y58" s="15">
        <f t="shared" si="57"/>
        <v>6082.1957789855069</v>
      </c>
      <c r="Z58" s="1">
        <v>432.88</v>
      </c>
      <c r="AA58" s="1">
        <f t="shared" si="58"/>
        <v>1540.3300000000002</v>
      </c>
      <c r="AB58" s="36">
        <f t="shared" si="59"/>
        <v>150.28</v>
      </c>
      <c r="AC58" s="34">
        <f t="shared" si="60"/>
        <v>2123.4900000000002</v>
      </c>
    </row>
    <row r="59" spans="1:29" ht="15.75" customHeight="1">
      <c r="A59" s="1" t="s">
        <v>136</v>
      </c>
      <c r="B59" s="21" t="s">
        <v>137</v>
      </c>
      <c r="C59" s="2" t="s">
        <v>138</v>
      </c>
      <c r="D59" s="23" t="s">
        <v>139</v>
      </c>
      <c r="E59" s="1">
        <v>7549.4</v>
      </c>
      <c r="F59" s="26">
        <v>15</v>
      </c>
      <c r="G59" s="38">
        <v>770</v>
      </c>
      <c r="H59" s="1"/>
      <c r="I59" s="1"/>
      <c r="J59" s="1"/>
      <c r="K59" s="1"/>
      <c r="L59" s="1"/>
      <c r="M59" s="1"/>
      <c r="N59" s="37"/>
      <c r="O59" s="1"/>
      <c r="P59" s="1">
        <f>E59/15*10*25%/184*183</f>
        <v>1251.395108695652</v>
      </c>
      <c r="Q59" s="1">
        <f t="shared" si="54"/>
        <v>8800.7951086956509</v>
      </c>
      <c r="R59" s="1"/>
      <c r="S59" s="1"/>
      <c r="T59" s="1">
        <v>1150.3900000000001</v>
      </c>
      <c r="U59" s="1">
        <v>-227.45</v>
      </c>
      <c r="V59" s="1">
        <v>-0.12</v>
      </c>
      <c r="W59" s="34">
        <f t="shared" si="55"/>
        <v>868.18</v>
      </c>
      <c r="X59" s="1">
        <f t="shared" si="56"/>
        <v>2561</v>
      </c>
      <c r="Y59" s="15">
        <f t="shared" si="57"/>
        <v>6239.7951086956509</v>
      </c>
      <c r="Z59" s="1">
        <v>433.89</v>
      </c>
      <c r="AA59" s="1">
        <f t="shared" si="58"/>
        <v>1547.63</v>
      </c>
      <c r="AB59" s="36">
        <f t="shared" si="59"/>
        <v>150.99</v>
      </c>
      <c r="AC59" s="34">
        <f t="shared" si="60"/>
        <v>2132.5100000000002</v>
      </c>
    </row>
    <row r="60" spans="1:29" ht="15.75" customHeight="1">
      <c r="A60" s="1"/>
      <c r="B60" s="21" t="s">
        <v>140</v>
      </c>
      <c r="C60" s="2" t="s">
        <v>141</v>
      </c>
      <c r="D60" s="23" t="s">
        <v>139</v>
      </c>
      <c r="E60" s="1">
        <v>7549.4</v>
      </c>
      <c r="F60" s="26">
        <v>15</v>
      </c>
      <c r="G60" s="1"/>
      <c r="H60" s="1"/>
      <c r="I60" s="1"/>
      <c r="J60" s="1"/>
      <c r="K60" s="1"/>
      <c r="L60" s="1"/>
      <c r="M60" s="1"/>
      <c r="N60" s="37">
        <v>10.78</v>
      </c>
      <c r="O60" s="1"/>
      <c r="P60" s="1">
        <f>E60/15*10*25%/184*174</f>
        <v>1189.8510869565214</v>
      </c>
      <c r="Q60" s="1">
        <f t="shared" si="54"/>
        <v>8728.4710869565206</v>
      </c>
      <c r="R60" s="1"/>
      <c r="S60" s="1"/>
      <c r="T60" s="1">
        <v>1137.24</v>
      </c>
      <c r="U60" s="1">
        <v>-1137.24</v>
      </c>
      <c r="V60" s="1">
        <v>-0.11</v>
      </c>
      <c r="W60" s="34">
        <f t="shared" si="55"/>
        <v>868.18</v>
      </c>
      <c r="X60" s="1">
        <f t="shared" si="56"/>
        <v>868.06999999999994</v>
      </c>
      <c r="Y60" s="15">
        <f t="shared" si="57"/>
        <v>7860.4010869565209</v>
      </c>
      <c r="Z60" s="1">
        <v>433.89</v>
      </c>
      <c r="AA60" s="1">
        <f t="shared" si="58"/>
        <v>1547.63</v>
      </c>
      <c r="AB60" s="36">
        <f t="shared" si="59"/>
        <v>150.99</v>
      </c>
      <c r="AC60" s="34">
        <f t="shared" si="60"/>
        <v>2132.5100000000002</v>
      </c>
    </row>
    <row r="61" spans="1:29" ht="15.75" customHeight="1">
      <c r="A61" s="1"/>
      <c r="B61" s="21" t="s">
        <v>142</v>
      </c>
      <c r="C61" s="2" t="s">
        <v>143</v>
      </c>
      <c r="D61" s="23" t="s">
        <v>139</v>
      </c>
      <c r="E61" s="1">
        <v>7549.4</v>
      </c>
      <c r="F61" s="26">
        <v>15</v>
      </c>
      <c r="G61" s="38">
        <v>2097</v>
      </c>
      <c r="H61" s="1"/>
      <c r="I61" s="1"/>
      <c r="J61" s="1"/>
      <c r="K61" s="1"/>
      <c r="L61" s="1"/>
      <c r="M61" s="1"/>
      <c r="N61" s="37">
        <v>22.77</v>
      </c>
      <c r="O61" s="1"/>
      <c r="P61" s="1">
        <f>E61/15*10*25%</f>
        <v>1258.2333333333331</v>
      </c>
      <c r="Q61" s="1">
        <f t="shared" si="54"/>
        <v>8784.8633333333328</v>
      </c>
      <c r="R61" s="1"/>
      <c r="S61" s="1"/>
      <c r="T61" s="1">
        <v>1151.8399999999999</v>
      </c>
      <c r="U61" s="1">
        <v>-227.44</v>
      </c>
      <c r="V61" s="1">
        <v>-0.12</v>
      </c>
      <c r="W61" s="34">
        <f t="shared" si="55"/>
        <v>868.18</v>
      </c>
      <c r="X61" s="1">
        <f t="shared" si="56"/>
        <v>3889.46</v>
      </c>
      <c r="Y61" s="15">
        <f t="shared" si="57"/>
        <v>4895.4033333333327</v>
      </c>
      <c r="Z61" s="1">
        <v>433.89</v>
      </c>
      <c r="AA61" s="1">
        <f t="shared" si="58"/>
        <v>1547.63</v>
      </c>
      <c r="AB61" s="36">
        <f t="shared" si="59"/>
        <v>150.99</v>
      </c>
      <c r="AC61" s="34">
        <f t="shared" si="60"/>
        <v>2132.5100000000002</v>
      </c>
    </row>
    <row r="62" spans="1:29" ht="15.75" customHeight="1">
      <c r="A62" s="1"/>
      <c r="B62" s="12" t="s">
        <v>34</v>
      </c>
      <c r="C62" s="17"/>
      <c r="D62" s="18"/>
      <c r="E62" s="19">
        <f>SUM(E56:E61)</f>
        <v>45933.36</v>
      </c>
      <c r="F62" s="19"/>
      <c r="G62" s="19">
        <f t="shared" ref="G62:H62" si="61">SUM(G56:G61)</f>
        <v>5443.9</v>
      </c>
      <c r="H62" s="19">
        <f t="shared" si="61"/>
        <v>0</v>
      </c>
      <c r="I62" s="19"/>
      <c r="J62" s="19"/>
      <c r="K62" s="19"/>
      <c r="L62" s="19"/>
      <c r="M62" s="19"/>
      <c r="N62" s="19">
        <f t="shared" ref="N62:AC62" si="62">SUM(N56:N61)</f>
        <v>33.549999999999997</v>
      </c>
      <c r="O62" s="19">
        <f t="shared" si="62"/>
        <v>0</v>
      </c>
      <c r="P62" s="19">
        <f t="shared" si="62"/>
        <v>6077.4286413043465</v>
      </c>
      <c r="Q62" s="19">
        <f t="shared" si="62"/>
        <v>51977.23864130435</v>
      </c>
      <c r="R62" s="19">
        <f t="shared" si="62"/>
        <v>0</v>
      </c>
      <c r="S62" s="19">
        <f t="shared" si="62"/>
        <v>0</v>
      </c>
      <c r="T62" s="19">
        <f t="shared" si="62"/>
        <v>6777.69</v>
      </c>
      <c r="U62" s="19">
        <f t="shared" si="62"/>
        <v>-1819.5500000000002</v>
      </c>
      <c r="V62" s="19">
        <f t="shared" si="62"/>
        <v>-0.13999999999999996</v>
      </c>
      <c r="W62" s="19">
        <f t="shared" si="62"/>
        <v>5282.34</v>
      </c>
      <c r="X62" s="19">
        <f t="shared" si="62"/>
        <v>15684.239999999998</v>
      </c>
      <c r="Y62" s="19">
        <f t="shared" si="62"/>
        <v>36292.998641304344</v>
      </c>
      <c r="Z62" s="19">
        <f t="shared" si="62"/>
        <v>2621.2899999999995</v>
      </c>
      <c r="AA62" s="19">
        <f t="shared" si="62"/>
        <v>9416.34</v>
      </c>
      <c r="AB62" s="19">
        <f t="shared" si="62"/>
        <v>918.68</v>
      </c>
      <c r="AC62" s="19">
        <f t="shared" si="62"/>
        <v>12956.310000000001</v>
      </c>
    </row>
    <row r="63" spans="1:29" ht="15.75" customHeight="1">
      <c r="A63" s="1"/>
      <c r="B63" s="12"/>
      <c r="C63" s="2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8"/>
      <c r="R63" s="18"/>
      <c r="S63" s="18"/>
      <c r="T63" s="18"/>
      <c r="U63" s="18"/>
      <c r="V63" s="18"/>
      <c r="W63" s="18"/>
      <c r="X63" s="18"/>
      <c r="Y63" s="24"/>
      <c r="Z63" s="18"/>
      <c r="AA63" s="18"/>
      <c r="AB63" s="18"/>
      <c r="AC63" s="18"/>
    </row>
    <row r="64" spans="1:29" ht="15.75" customHeight="1">
      <c r="A64" s="1"/>
      <c r="B64" s="1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8"/>
      <c r="R64" s="18"/>
      <c r="S64" s="18"/>
      <c r="T64" s="18"/>
      <c r="U64" s="18"/>
      <c r="V64" s="18"/>
      <c r="W64" s="18"/>
      <c r="X64" s="18"/>
      <c r="Y64" s="24"/>
      <c r="Z64" s="18"/>
      <c r="AA64" s="18"/>
      <c r="AB64" s="18"/>
      <c r="AC64" s="18"/>
    </row>
    <row r="65" spans="1:29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20"/>
      <c r="Z65" s="1"/>
      <c r="AA65" s="1"/>
      <c r="AB65" s="1"/>
      <c r="AC65" s="1"/>
    </row>
    <row r="66" spans="1:29" ht="15.75" customHeight="1">
      <c r="A66" s="1"/>
      <c r="B66" s="1"/>
      <c r="C66" s="25" t="s">
        <v>144</v>
      </c>
      <c r="D66" s="1"/>
      <c r="E66" s="41">
        <f>E9+E25+E32+E53+E62</f>
        <v>293940.96999999997</v>
      </c>
      <c r="F66" s="41"/>
      <c r="G66" s="41">
        <f t="shared" ref="G66:AC66" si="63">G9+G25+G32+G53+G62</f>
        <v>28358.25</v>
      </c>
      <c r="H66" s="41" t="e">
        <f t="shared" si="63"/>
        <v>#REF!</v>
      </c>
      <c r="I66" s="41">
        <f t="shared" si="63"/>
        <v>5594.82</v>
      </c>
      <c r="J66" s="41">
        <f t="shared" si="63"/>
        <v>4601.3999999999996</v>
      </c>
      <c r="K66" s="41">
        <f t="shared" si="63"/>
        <v>199.13</v>
      </c>
      <c r="L66" s="41">
        <f t="shared" si="63"/>
        <v>1375.93</v>
      </c>
      <c r="M66" s="41">
        <f t="shared" si="63"/>
        <v>37.35</v>
      </c>
      <c r="N66" s="41">
        <f t="shared" si="63"/>
        <v>35.879999999999995</v>
      </c>
      <c r="O66" s="41">
        <f t="shared" si="63"/>
        <v>0</v>
      </c>
      <c r="P66" s="41">
        <f t="shared" si="63"/>
        <v>38032.178505434778</v>
      </c>
      <c r="Q66" s="41">
        <f t="shared" si="63"/>
        <v>331937.2685054348</v>
      </c>
      <c r="R66" s="41">
        <f t="shared" si="63"/>
        <v>0</v>
      </c>
      <c r="S66" s="41">
        <f t="shared" si="63"/>
        <v>0</v>
      </c>
      <c r="T66" s="41">
        <f t="shared" si="63"/>
        <v>44327.649999999994</v>
      </c>
      <c r="U66" s="41">
        <f t="shared" si="63"/>
        <v>-5834.5300000000007</v>
      </c>
      <c r="V66" s="41">
        <f t="shared" si="63"/>
        <v>1.6300000000000001</v>
      </c>
      <c r="W66" s="41">
        <f t="shared" si="63"/>
        <v>33803.260000000009</v>
      </c>
      <c r="X66" s="41">
        <f t="shared" si="63"/>
        <v>112464.88999999998</v>
      </c>
      <c r="Y66" s="41">
        <f t="shared" si="63"/>
        <v>219472.37850543478</v>
      </c>
      <c r="Z66" s="41">
        <f t="shared" si="63"/>
        <v>16466.109999999997</v>
      </c>
      <c r="AA66" s="41">
        <f t="shared" si="63"/>
        <v>60257.8946</v>
      </c>
      <c r="AB66" s="41">
        <f t="shared" si="63"/>
        <v>5878.82</v>
      </c>
      <c r="AC66" s="41">
        <f t="shared" si="63"/>
        <v>82602.824599999993</v>
      </c>
    </row>
    <row r="67" spans="1:29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2"/>
      <c r="Z67" s="24"/>
      <c r="AA67" s="24"/>
      <c r="AB67" s="1"/>
      <c r="AC67" s="1"/>
    </row>
    <row r="68" spans="1:29" ht="15.75" customHeight="1">
      <c r="A68" s="1"/>
      <c r="B68" s="1"/>
      <c r="C68" s="21" t="s">
        <v>145</v>
      </c>
      <c r="D68" s="1"/>
      <c r="E68" s="1">
        <f>E7+E8+E12+E13+E14+E15+E16+E17+E18+E19+E20+E21+E22+E23+E24+E28+E29+E30+E31+E36+E37+E38+E39+E40+E41+E42+E43+E44+E45+E46+E47+E48+E49+E50+E51+E52+E56+E57+E58+E59+E60+E61</f>
        <v>293940.97000000003</v>
      </c>
      <c r="F68" s="1">
        <f>E68*17.5%</f>
        <v>51439.669750000001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2"/>
      <c r="Z68" s="1"/>
      <c r="AA68" s="1"/>
      <c r="AB68" s="1"/>
      <c r="AC68" s="1"/>
    </row>
    <row r="69" spans="1:29" ht="15.75" customHeight="1">
      <c r="A69" s="1"/>
      <c r="B69" s="1"/>
      <c r="C69" s="21" t="s">
        <v>146</v>
      </c>
      <c r="D69" s="1"/>
      <c r="E69" s="1">
        <f>E68</f>
        <v>293940.97000000003</v>
      </c>
      <c r="F69" s="1">
        <f>E69*3%</f>
        <v>8818.2291000000005</v>
      </c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2"/>
      <c r="Z69" s="1"/>
      <c r="AA69" s="1"/>
      <c r="AB69" s="1"/>
      <c r="AC69" s="1"/>
    </row>
    <row r="70" spans="1:29" ht="15.75" customHeight="1">
      <c r="A70" s="1"/>
      <c r="B70" s="1"/>
      <c r="C70" s="1"/>
      <c r="D70" s="1"/>
      <c r="E70" s="1"/>
      <c r="F70" s="1">
        <f>SUM(F68:F69)</f>
        <v>60257.898849999998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2"/>
      <c r="Z70" s="1"/>
      <c r="AA70" s="1"/>
      <c r="AB70" s="1"/>
      <c r="AC70" s="1"/>
    </row>
    <row r="71" spans="1:29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2"/>
      <c r="Z71" s="1"/>
      <c r="AA71" s="1"/>
      <c r="AB71" s="1"/>
      <c r="AC71" s="1"/>
    </row>
    <row r="72" spans="1:29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2"/>
      <c r="Z72" s="1"/>
      <c r="AA72" s="1"/>
      <c r="AB72" s="1"/>
      <c r="AC72" s="1"/>
    </row>
    <row r="73" spans="1:29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2"/>
      <c r="Z73" s="1"/>
      <c r="AA73" s="1"/>
      <c r="AB73" s="1"/>
      <c r="AC73" s="1"/>
    </row>
    <row r="74" spans="1:29" ht="15.75" customHeight="1">
      <c r="A74" s="1"/>
      <c r="B74" s="1"/>
      <c r="C74" s="1"/>
      <c r="D74" s="48"/>
      <c r="E74" s="48"/>
      <c r="F74" s="48"/>
      <c r="G74" s="48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2"/>
      <c r="Z74" s="1"/>
      <c r="AA74" s="1"/>
      <c r="AB74" s="1"/>
      <c r="AC74" s="1"/>
    </row>
    <row r="75" spans="1:29" ht="15.75" customHeight="1">
      <c r="A75" s="1"/>
      <c r="B75" s="1"/>
      <c r="C75" s="1"/>
      <c r="D75" s="48"/>
      <c r="E75" s="49"/>
      <c r="F75" s="50"/>
      <c r="G75" s="51"/>
      <c r="H75" s="51"/>
      <c r="I75" s="26"/>
      <c r="J75" s="26"/>
      <c r="K75" s="26"/>
      <c r="L75" s="26"/>
      <c r="M75" s="26"/>
      <c r="N75" s="1"/>
      <c r="O75" s="1"/>
      <c r="P75" s="1"/>
      <c r="Q75" s="1"/>
      <c r="R75" s="1"/>
      <c r="S75" s="1"/>
      <c r="T75" s="1"/>
      <c r="U75" s="1"/>
      <c r="V75" s="1"/>
      <c r="W75" s="44"/>
      <c r="X75" s="45"/>
      <c r="Y75" s="2"/>
      <c r="Z75" s="1"/>
      <c r="AA75" s="1"/>
      <c r="AB75" s="1"/>
      <c r="AC75" s="1"/>
    </row>
    <row r="76" spans="1:29" ht="15.75" customHeight="1">
      <c r="A76" s="1"/>
      <c r="B76" s="1"/>
      <c r="C76" s="1"/>
      <c r="D76" s="48"/>
      <c r="E76" s="52" t="s">
        <v>147</v>
      </c>
      <c r="F76" s="52"/>
      <c r="G76" s="51"/>
      <c r="H76" s="51"/>
      <c r="I76" s="26"/>
      <c r="J76" s="26"/>
      <c r="K76" s="26"/>
      <c r="L76" s="26"/>
      <c r="M76" s="26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46" t="s">
        <v>148</v>
      </c>
      <c r="Z76" s="47"/>
      <c r="AA76" s="26"/>
      <c r="AB76" s="1"/>
      <c r="AC76" s="1"/>
    </row>
    <row r="77" spans="1:29" ht="15.75" customHeight="1">
      <c r="A77" s="1"/>
      <c r="B77" s="1"/>
      <c r="C77" s="1"/>
      <c r="D77" s="48"/>
      <c r="E77" s="48" t="s">
        <v>149</v>
      </c>
      <c r="F77" s="48"/>
      <c r="G77" s="48"/>
      <c r="H77" s="48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2" t="s">
        <v>150</v>
      </c>
      <c r="Z77" s="1"/>
      <c r="AA77" s="1"/>
      <c r="AB77" s="1"/>
      <c r="AC77" s="1"/>
    </row>
    <row r="78" spans="1:29" ht="15.75" customHeight="1">
      <c r="A78" s="1"/>
      <c r="B78" s="1"/>
      <c r="C78" s="1"/>
      <c r="D78" s="48"/>
      <c r="E78" s="48"/>
      <c r="F78" s="48"/>
      <c r="G78" s="48"/>
      <c r="H78" s="48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2"/>
      <c r="Z78" s="1"/>
      <c r="AA78" s="1"/>
      <c r="AB78" s="1"/>
      <c r="AC78" s="1"/>
    </row>
    <row r="79" spans="1:29" ht="15.75" customHeight="1">
      <c r="A79" s="1"/>
      <c r="B79" s="1"/>
      <c r="C79" s="1"/>
      <c r="D79" s="48"/>
      <c r="E79" s="48"/>
      <c r="F79" s="48"/>
      <c r="G79" s="48"/>
      <c r="H79" s="48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"/>
      <c r="Z79" s="1"/>
      <c r="AA79" s="1"/>
      <c r="AB79" s="1"/>
      <c r="AC79" s="1"/>
    </row>
    <row r="80" spans="1:29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5">
    <mergeCell ref="B4:AC4"/>
    <mergeCell ref="E75:F75"/>
    <mergeCell ref="W75:X75"/>
    <mergeCell ref="E76:F76"/>
    <mergeCell ref="Y76:Z76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2da Diciembre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Likuit Snake</cp:lastModifiedBy>
  <dcterms:created xsi:type="dcterms:W3CDTF">2022-01-12T17:30:28Z</dcterms:created>
  <dcterms:modified xsi:type="dcterms:W3CDTF">2023-06-23T17:48:06Z</dcterms:modified>
</cp:coreProperties>
</file>